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0.172\M.Kozik\Moje dokumenty\sesje\sesja 27\uchwaly\XXVII 143 26 WPF\"/>
    </mc:Choice>
  </mc:AlternateContent>
  <xr:revisionPtr revIDLastSave="0" documentId="13_ncr:1_{A2682ECA-827B-49DC-98B9-B8522C62EB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ącznik 2" sheetId="1" r:id="rId1"/>
  </sheets>
  <calcPr calcId="181029"/>
</workbook>
</file>

<file path=xl/calcChain.xml><?xml version="1.0" encoding="utf-8"?>
<calcChain xmlns="http://schemas.openxmlformats.org/spreadsheetml/2006/main">
  <c r="K19" i="1" l="1"/>
  <c r="F9" i="1"/>
  <c r="K18" i="1"/>
  <c r="H20" i="1"/>
  <c r="G20" i="1"/>
  <c r="F20" i="1"/>
  <c r="F14" i="1"/>
  <c r="K10" i="1"/>
  <c r="F10" i="1"/>
  <c r="G10" i="1"/>
  <c r="K23" i="1"/>
  <c r="K21" i="1"/>
  <c r="K20" i="1" s="1"/>
  <c r="K29" i="1"/>
  <c r="K22" i="1"/>
  <c r="F38" i="1"/>
  <c r="G38" i="1"/>
  <c r="G37" i="1" s="1"/>
  <c r="K17" i="1"/>
  <c r="F37" i="1"/>
  <c r="I14" i="1"/>
  <c r="I9" i="1" s="1"/>
  <c r="H37" i="1"/>
  <c r="G11" i="1"/>
  <c r="G12" i="1"/>
  <c r="K12" i="1" s="1"/>
  <c r="J37" i="1"/>
  <c r="I37" i="1"/>
  <c r="K35" i="1"/>
  <c r="J35" i="1"/>
  <c r="I35" i="1"/>
  <c r="H35" i="1"/>
  <c r="G35" i="1"/>
  <c r="F35" i="1"/>
  <c r="K33" i="1"/>
  <c r="J33" i="1"/>
  <c r="I33" i="1"/>
  <c r="H33" i="1"/>
  <c r="G33" i="1"/>
  <c r="F33" i="1"/>
  <c r="K32" i="1"/>
  <c r="J32" i="1"/>
  <c r="I32" i="1"/>
  <c r="H32" i="1"/>
  <c r="G32" i="1"/>
  <c r="F32" i="1"/>
  <c r="J20" i="1"/>
  <c r="I20" i="1"/>
  <c r="J9" i="1"/>
  <c r="H9" i="1"/>
  <c r="G9" i="1" l="1"/>
  <c r="G8" i="1" s="1"/>
  <c r="K11" i="1"/>
  <c r="K38" i="1"/>
  <c r="K37" i="1" s="1"/>
  <c r="F7" i="1"/>
  <c r="K9" i="1"/>
  <c r="K8" i="1" s="1"/>
  <c r="J34" i="1"/>
  <c r="K34" i="1"/>
  <c r="H34" i="1"/>
  <c r="G34" i="1"/>
  <c r="F6" i="1"/>
  <c r="F34" i="1"/>
  <c r="I34" i="1"/>
  <c r="F8" i="1"/>
  <c r="I6" i="1"/>
  <c r="J31" i="1"/>
  <c r="H6" i="1"/>
  <c r="G31" i="1"/>
  <c r="H8" i="1"/>
  <c r="I7" i="1"/>
  <c r="J7" i="1"/>
  <c r="J6" i="1"/>
  <c r="K31" i="1"/>
  <c r="G7" i="1"/>
  <c r="H31" i="1"/>
  <c r="I31" i="1"/>
  <c r="I8" i="1"/>
  <c r="J8" i="1"/>
  <c r="H7" i="1"/>
  <c r="F31" i="1"/>
  <c r="K7" i="1"/>
  <c r="G6" i="1" l="1"/>
  <c r="F5" i="1"/>
  <c r="K6" i="1"/>
  <c r="K5" i="1"/>
  <c r="J5" i="1"/>
  <c r="G5" i="1"/>
  <c r="I5" i="1"/>
  <c r="H5" i="1"/>
</calcChain>
</file>

<file path=xl/sharedStrings.xml><?xml version="1.0" encoding="utf-8"?>
<sst xmlns="http://schemas.openxmlformats.org/spreadsheetml/2006/main" count="108" uniqueCount="79">
  <si>
    <t>Lp.</t>
  </si>
  <si>
    <t>Nazwa i cel</t>
  </si>
  <si>
    <t>Jednostka</t>
  </si>
  <si>
    <t>Od</t>
  </si>
  <si>
    <t>Do</t>
  </si>
  <si>
    <t>Nakłady</t>
  </si>
  <si>
    <t>2026</t>
  </si>
  <si>
    <t>2027</t>
  </si>
  <si>
    <t>2028</t>
  </si>
  <si>
    <t>2029</t>
  </si>
  <si>
    <t>Limit zobowiązań</t>
  </si>
  <si>
    <t>1</t>
  </si>
  <si>
    <t>Przedsięwzięcia razem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</si>
  <si>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</si>
  <si>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</si>
  <si>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</si>
  <si>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</si>
  <si>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</si>
  <si>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późn.zm.):</t>
  </si>
  <si>
    <t>1.1.1</t>
  </si>
  <si>
    <t>1.1.1.1</t>
  </si>
  <si>
    <t>1.1.1.2</t>
  </si>
  <si>
    <t>POWIATOWY URZĄD PRACY</t>
  </si>
  <si>
    <t>1.1.1.3</t>
  </si>
  <si>
    <t>POWIATOWE CENTRUM POMOCY RODZINIE</t>
  </si>
  <si>
    <t>1.1.1.4</t>
  </si>
  <si>
    <t>1.1.1.5</t>
  </si>
  <si>
    <t>1.1.1.6</t>
  </si>
  <si>
    <t>1.1.1.7</t>
  </si>
  <si>
    <t>1.1.2</t>
  </si>
  <si>
    <t>1.1.2.1</t>
  </si>
  <si>
    <t>1.1.2.2</t>
  </si>
  <si>
    <t>1.1.2.3</t>
  </si>
  <si>
    <t>1.1.2.4</t>
  </si>
  <si>
    <t>1.1.2.5</t>
  </si>
  <si>
    <t>1.1.2.6</t>
  </si>
  <si>
    <t>1.1.2.7</t>
  </si>
  <si>
    <t>1.1.2.8</t>
  </si>
  <si>
    <t>1.1.2.9</t>
  </si>
  <si>
    <t>1.2</t>
  </si>
  <si>
    <t>Wydatki na programy, projekty lub zadania związane z umowami partnerstwa publiczno-prywatnego:</t>
  </si>
  <si>
    <t>1.2.1</t>
  </si>
  <si>
    <t>1.2.2</t>
  </si>
  <si>
    <t>1.3</t>
  </si>
  <si>
    <t>Wydatki na programy, projekty lub zadania pozostałe (inne niż wymienione w pkt 1.1 i 1.2):</t>
  </si>
  <si>
    <t>1.3.1</t>
  </si>
  <si>
    <t>1.3.1.1</t>
  </si>
  <si>
    <t>1.3.2</t>
  </si>
  <si>
    <t>1.3.2.1</t>
  </si>
  <si>
    <t>PRZEDSIĘWZIĘCIA DO WIELOLETNIEJ PROGNOZY FINANSOWEJ POWIATU ŚWIDWIŃSKIEGO NA LATA 2026-2032</t>
  </si>
  <si>
    <t xml:space="preserve">Załącznik Nr 2 do Uchwały </t>
  </si>
  <si>
    <t>1.3.2.2</t>
  </si>
  <si>
    <t xml:space="preserve">CYBERBEZPIECZNY SAMORZĄD </t>
  </si>
  <si>
    <t xml:space="preserve">Voucher zatrudnieniowy dla Powiatu Świdwińskiego  </t>
  </si>
  <si>
    <t xml:space="preserve">Wybierz przyszłość dla Rodziny Plus </t>
  </si>
  <si>
    <t xml:space="preserve">Zwiększenie jakości i dostępności usług publicznych poprzez doposażenie Centrum Nauki Cordis w Świdwinie </t>
  </si>
  <si>
    <t xml:space="preserve">Poprawa jakości i dostępności kształcenia zawodowego w szkołach ponadpodstawowych wraz z doposażeniem pracowni w powiecie świdwińskim  </t>
  </si>
  <si>
    <t xml:space="preserve">Rozbudowa Regionalnej Infrastruktury Informacji Przestrzennej Województwa Zachodniopomorskiego </t>
  </si>
  <si>
    <t xml:space="preserve">"Aktywni 55+" Powiatowy Urząd Pracy w Świdwinie </t>
  </si>
  <si>
    <t xml:space="preserve">Adaptacja terenów zurbanizowanych do zmian klimatu – mała retencja wodna w szpitalu w Połczynie Zdroju  </t>
  </si>
  <si>
    <t xml:space="preserve">Zwiększenie efektywności energetycznej w budynku Poradni Psychologiczno-Pedagogicznej w Świdwinie poprzez termomodernizację i wymianę źródła ciepła                   </t>
  </si>
  <si>
    <t xml:space="preserve">Zwiększenie jakości i dostępności usług publicznych ZSR CKZ w Świdwinie </t>
  </si>
  <si>
    <t xml:space="preserve">Termomodernizacja budynku mieszkalnego przy ulicy Wojska Polskiego 27 w Świdwinie </t>
  </si>
  <si>
    <t xml:space="preserve">Utworzenie terenów zielonych przy Domu Pomocy Społecznej w Modrzewcu </t>
  </si>
  <si>
    <t xml:space="preserve">Program kompleksowego wsparcia dla rodzin "Za życiem" </t>
  </si>
  <si>
    <t xml:space="preserve">Przebudowa ZPO w Połczynie Zdroju na potrzeby Poradni Psychologiczno-Pedagogicznej </t>
  </si>
  <si>
    <t>STAROSTWO POWIATOWE                      W ŚWIDWINIE</t>
  </si>
  <si>
    <t>PORADNIA PSYCHOLOGICZNO - PEDAGOGICZNA                W POŁCZYNIE-ZDROJU</t>
  </si>
  <si>
    <t>Budowa hali magazynowej o konstrukcji stalowej wraz z niezbędnymi urządzeniami - OLOC</t>
  </si>
  <si>
    <t xml:space="preserve">Voucher zatrudnieniowy - edycja II Powiatowy Urząd Pracy w Świdwinie </t>
  </si>
  <si>
    <t>1.1.2.10</t>
  </si>
  <si>
    <t>Rady Powiatu Świdwińskiego</t>
  </si>
  <si>
    <t>1.1.1.8</t>
  </si>
  <si>
    <t>1.1.1.9</t>
  </si>
  <si>
    <t>1.1.1.10</t>
  </si>
  <si>
    <t>ERASMUS + Innowacyjne kompetencje cyfrowe i zielona transformacja w ZSR CKZ w Świdwinie</t>
  </si>
  <si>
    <t>ZESPÓŁ SZKÓŁ ROLNICZYCH CKZ W ŚWIDWINIE</t>
  </si>
  <si>
    <t>Wspieranie szkół średnich ogólnokształcących z Powiatu Świdwińskiego</t>
  </si>
  <si>
    <t>Nr XXVII/143/26 z dnia 29.10.2026r.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</si>
</sst>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" fontId="5" fillId="4" borderId="1" xfId="0" applyNumberFormat="1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left" vertical="center"/>
    </xf>
    <xf numFmtId="4" fontId="4" fillId="3" borderId="1" xfId="0" applyNumberFormat="1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left" vertical="center"/>
    </xf>
    <xf numFmtId="4" fontId="5" fillId="3" borderId="1" xfId="0" applyNumberFormat="1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10"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selection activeCell="K3" sqref="K3"/>
    </sheetView>
  </sheetViews>
  <sheetFormatPr defaultRowHeight="14.4" x14ac:dyDescent="0.3"/>
  <cols>
    <col min="1" max="1" width="7.109375" customWidth="1"/>
    <col min="2" max="2" width="54" customWidth="1"/>
    <col min="3" max="3" width="20.109375" style="6" customWidth="1"/>
    <col min="4" max="4" width="8.109375" customWidth="1"/>
    <col min="5" max="5" width="8.44140625" customWidth="1"/>
    <col min="6" max="6" width="14.33203125" customWidth="1"/>
    <col min="7" max="7" width="14.33203125" style="7" customWidth="1"/>
    <col min="8" max="11" width="14.33203125" customWidth="1"/>
  </cols>
  <sheetData>
    <row r="1" spans="1:11" x14ac:dyDescent="0.3">
      <c r="A1" s="1"/>
      <c r="B1" s="1"/>
      <c r="C1" s="5"/>
      <c r="D1" s="1"/>
      <c r="E1" s="1"/>
      <c r="F1" s="1"/>
      <c r="G1" s="1"/>
      <c r="H1" s="1"/>
      <c r="I1" s="1"/>
      <c r="K1" s="2" t="s">
        <v>50</v>
      </c>
    </row>
    <row r="2" spans="1:11" x14ac:dyDescent="0.3">
      <c r="A2" s="1"/>
      <c r="B2" s="1"/>
      <c r="C2" s="5"/>
      <c r="D2" s="1"/>
      <c r="E2" s="1"/>
      <c r="F2" s="1"/>
      <c r="G2" s="1"/>
      <c r="H2" s="1"/>
      <c r="I2" s="1"/>
      <c r="K2" s="2" t="s">
        <v>71</v>
      </c>
    </row>
    <row r="3" spans="1:11" ht="15.6" x14ac:dyDescent="0.3">
      <c r="A3" s="1"/>
      <c r="B3" s="1"/>
      <c r="C3" s="5"/>
      <c r="D3" s="3" t="s">
        <v>49</v>
      </c>
      <c r="E3" s="1"/>
      <c r="F3" s="1"/>
      <c r="G3" s="1"/>
      <c r="H3" s="1"/>
      <c r="I3" s="1"/>
      <c r="K3" s="2" t="s">
        <v>78</v>
      </c>
    </row>
    <row r="4" spans="1:11" s="4" customFormat="1" ht="20.100000000000001" customHeight="1" x14ac:dyDescent="0.3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</row>
    <row r="5" spans="1:11" ht="35.1" customHeight="1" x14ac:dyDescent="0.3">
      <c r="A5" s="15" t="s">
        <v>11</v>
      </c>
      <c r="B5" s="16" t="s">
        <v>12</v>
      </c>
      <c r="C5" s="14"/>
      <c r="D5" s="9"/>
      <c r="E5" s="9"/>
      <c r="F5" s="10">
        <f ca="1">F6+F7</f>
        <v>40269796.170000002</v>
      </c>
      <c r="G5" s="10">
        <f ca="1">IF(ISNUMBER(VLOOKUP("1.1",A5:K40,7,FALSE)),ROUND(VLOOKUP("1.1",A5:K40,7,FALSE),4),0) + IF(ISNUMBER(VLOOKUP("1.2",A5:K40,7,FALSE)),ROUND(VLOOKUP("1.2",A5:K40,7,FALSE),4),0) + IF(ISNUMBER(VLOOKUP("1.3",A5:K40,7,FALSE)),ROUND(VLOOKUP("1.3",A5:K40,7,FALSE),4),0)</f>
        <v>16734462.42</v>
      </c>
      <c r="H5" s="10">
        <f ca="1">IF(ISNUMBER(VLOOKUP("1.1",A5:K40,8,FALSE)),ROUND(VLOOKUP("1.1",A5:K40,8,FALSE),4),0) + IF(ISNUMBER(VLOOKUP("1.2",A5:K40,8,FALSE)),ROUND(VLOOKUP("1.2",A5:K40,8,FALSE),4),0) + IF(ISNUMBER(VLOOKUP("1.3",A5:K40,8,FALSE)),ROUND(VLOOKUP("1.3",A5:K40,8,FALSE),4),0)</f>
        <v>16726641.07</v>
      </c>
      <c r="I5" s="10">
        <f>IF(ISNUMBER(VLOOKUP("1.1",A5:K40,9,FALSE)),ROUND(VLOOKUP("1.1",A5:K40,9,FALSE),4),0) + IF(ISNUMBER(VLOOKUP("1.2",A5:K40,9,FALSE)),ROUND(VLOOKUP("1.2",A5:K40,9,FALSE),4),0) + IF(ISNUMBER(VLOOKUP("1.3",A5:K40,9,FALSE)),ROUND(VLOOKUP("1.3",A5:K40,9,FALSE),4),0)</f>
        <v>1201076.79</v>
      </c>
      <c r="J5" s="10">
        <f>IF(ISNUMBER(VLOOKUP("1.1",A5:K40,10,FALSE)),ROUND(VLOOKUP("1.1",A5:K40,10,FALSE),4),0) + IF(ISNUMBER(VLOOKUP("1.2",A5:K40,10,FALSE)),ROUND(VLOOKUP("1.2",A5:K40,10,FALSE),4),0) + IF(ISNUMBER(VLOOKUP("1.3",A5:K40,10,FALSE)),ROUND(VLOOKUP("1.3",A5:K40,10,FALSE),4),0)</f>
        <v>266607</v>
      </c>
      <c r="K5" s="10">
        <f ca="1">IF(ISNUMBER(VLOOKUP("1.1",A5:K40,11,FALSE)),ROUND(VLOOKUP("1.1",A5:K40,11,FALSE),4),0) + IF(ISNUMBER(VLOOKUP("1.2",A5:K40,11,FALSE)),ROUND(VLOOKUP("1.2",A5:K40,11,FALSE),4),0) + IF(ISNUMBER(VLOOKUP("1.3",A5:K40,11,FALSE)),ROUND(VLOOKUP("1.3",A5:K40,11,FALSE),4),0)</f>
        <v>34928787.280000001</v>
      </c>
    </row>
    <row r="6" spans="1:11" ht="35.1" customHeight="1" x14ac:dyDescent="0.3">
      <c r="A6" s="15" t="s">
        <v>13</v>
      </c>
      <c r="B6" s="16" t="s">
        <v>14</v>
      </c>
      <c r="C6" s="14"/>
      <c r="D6" s="9"/>
      <c r="E6" s="9"/>
      <c r="F6" s="10">
        <f>F9+F35</f>
        <v>19620449.660000004</v>
      </c>
      <c r="G6" s="10">
        <f>IF(ISNUMBER(VLOOKUP("1.1.1",A5:K40,7,FALSE)),ROUND(VLOOKUP("1.1.1",A5:K40,7,FALSE),4),0) + IF(ISNUMBER(VLOOKUP("1.2.1",A5:K40,7,FALSE)),ROUND(VLOOKUP("1.2.1",A5:K40,7,FALSE),4),0) + IF(ISNUMBER(VLOOKUP("1.3.1",A5:K40,7,FALSE)),ROUND(VLOOKUP("1.3.1",A5:K40,7,FALSE),4),0)</f>
        <v>6353348.9100000001</v>
      </c>
      <c r="H6" s="10">
        <f>IF(ISNUMBER(VLOOKUP("1.1.1",A5:K40,8,FALSE)),ROUND(VLOOKUP("1.1.1",A5:K40,8,FALSE),4),0) + IF(ISNUMBER(VLOOKUP("1.2.1",A5:K40,8,FALSE)),ROUND(VLOOKUP("1.2.1",A5:K40,8,FALSE),4),0) + IF(ISNUMBER(VLOOKUP("1.3.1",A5:K40,8,FALSE)),ROUND(VLOOKUP("1.3.1",A5:K40,8,FALSE),4),0)</f>
        <v>6970773.0700000003</v>
      </c>
      <c r="I6" s="10">
        <f>IF(ISNUMBER(VLOOKUP("1.1.1",A5:K40,9,FALSE)),ROUND(VLOOKUP("1.1.1",A5:K40,9,FALSE),4),0) + IF(ISNUMBER(VLOOKUP("1.2.1",A5:K40,9,FALSE)),ROUND(VLOOKUP("1.2.1",A5:K40,9,FALSE),4),0) + IF(ISNUMBER(VLOOKUP("1.3.1",A5:K40,9,FALSE)),ROUND(VLOOKUP("1.3.1",A5:K40,9,FALSE),4),0)</f>
        <v>1201076.79</v>
      </c>
      <c r="J6" s="10">
        <f>IF(ISNUMBER(VLOOKUP("1.1.1",A5:K40,10,FALSE)),ROUND(VLOOKUP("1.1.1",A5:K40,10,FALSE),4),0) + IF(ISNUMBER(VLOOKUP("1.2.1",A5:K40,10,FALSE)),ROUND(VLOOKUP("1.2.1",A5:K40,10,FALSE),4),0) + IF(ISNUMBER(VLOOKUP("1.3.1",A5:K40,10,FALSE)),ROUND(VLOOKUP("1.3.1",A5:K40,10,FALSE),4),0)</f>
        <v>266607</v>
      </c>
      <c r="K6" s="10">
        <f>IF(ISNUMBER(VLOOKUP("1.1.1",A5:K40,11,FALSE)),ROUND(VLOOKUP("1.1.1",A5:K40,11,FALSE),4),0) + IF(ISNUMBER(VLOOKUP("1.2.1",A5:K40,11,FALSE)),ROUND(VLOOKUP("1.2.1",A5:K40,11,FALSE),4),0) + IF(ISNUMBER(VLOOKUP("1.3.1",A5:K40,11,FALSE)),ROUND(VLOOKUP("1.3.1",A5:K40,11,FALSE),4),0)</f>
        <v>14791805.77</v>
      </c>
    </row>
    <row r="7" spans="1:11" ht="35.1" customHeight="1" x14ac:dyDescent="0.3">
      <c r="A7" s="15" t="s">
        <v>15</v>
      </c>
      <c r="B7" s="16" t="s">
        <v>16</v>
      </c>
      <c r="C7" s="14"/>
      <c r="D7" s="9"/>
      <c r="E7" s="9"/>
      <c r="F7" s="10">
        <f ca="1">F20+F37</f>
        <v>20649346.509999998</v>
      </c>
      <c r="G7" s="10">
        <f ca="1">IF(ISNUMBER(VLOOKUP("1.1.2",A5:K40,7,FALSE)),ROUND(VLOOKUP("1.1.2",A5:K40,7,FALSE),4),0) + IF(ISNUMBER(VLOOKUP("1.2.2",A5:K40,7,FALSE)),ROUND(VLOOKUP("1.2.2",A5:K40,7,FALSE),4),0) + IF(ISNUMBER(VLOOKUP("1.3.2",A5:K40,7,FALSE)),ROUND(VLOOKUP("1.3.2",A5:K40,7,FALSE),4),0)</f>
        <v>10381113.51</v>
      </c>
      <c r="H7" s="10">
        <f ca="1">IF(ISNUMBER(VLOOKUP("1.1.2",A5:K40,8,FALSE)),ROUND(VLOOKUP("1.1.2",A5:K40,8,FALSE),4),0) + IF(ISNUMBER(VLOOKUP("1.2.2",A5:K40,8,FALSE)),ROUND(VLOOKUP("1.2.2",A5:K40,8,FALSE),4),0) + IF(ISNUMBER(VLOOKUP("1.3.2",A5:K40,8,FALSE)),ROUND(VLOOKUP("1.3.2",A5:K40,8,FALSE),4),0)</f>
        <v>9755868</v>
      </c>
      <c r="I7" s="10">
        <f>IF(ISNUMBER(VLOOKUP("1.1.2",A5:K40,9,FALSE)),ROUND(VLOOKUP("1.1.2",A5:K40,9,FALSE),4),0) + IF(ISNUMBER(VLOOKUP("1.2.2",A5:K40,9,FALSE)),ROUND(VLOOKUP("1.2.2",A5:K40,9,FALSE),4),0) + IF(ISNUMBER(VLOOKUP("1.3.2",A5:K40,9,FALSE)),ROUND(VLOOKUP("1.3.2",A5:K40,9,FALSE),4),0)</f>
        <v>0</v>
      </c>
      <c r="J7" s="10">
        <f>IF(ISNUMBER(VLOOKUP("1.1.2",A5:K40,10,FALSE)),ROUND(VLOOKUP("1.1.2",A5:K40,10,FALSE),4),0) + IF(ISNUMBER(VLOOKUP("1.2.2",A5:K40,10,FALSE)),ROUND(VLOOKUP("1.2.2",A5:K40,10,FALSE),4),0) + IF(ISNUMBER(VLOOKUP("1.3.2",A5:K40,10,FALSE)),ROUND(VLOOKUP("1.3.2",A5:K40,10,FALSE),4),0)</f>
        <v>0</v>
      </c>
      <c r="K7" s="10">
        <f ca="1">IF(ISNUMBER(VLOOKUP("1.1.2",A5:K40,11,FALSE)),ROUND(VLOOKUP("1.1.2",A5:K40,11,FALSE),4),0) + IF(ISNUMBER(VLOOKUP("1.2.2",A5:K40,11,FALSE)),ROUND(VLOOKUP("1.2.2",A5:K40,11,FALSE),4),0) + IF(ISNUMBER(VLOOKUP("1.3.2",A5:K40,11,FALSE)),ROUND(VLOOKUP("1.3.2",A5:K40,11,FALSE),4),0)</f>
        <v>20136981.509999998</v>
      </c>
    </row>
    <row r="8" spans="1:11" ht="50.25" customHeight="1" x14ac:dyDescent="0.3">
      <c r="A8" s="15" t="s">
        <v>17</v>
      </c>
      <c r="B8" s="16" t="s">
        <v>18</v>
      </c>
      <c r="C8" s="14"/>
      <c r="D8" s="9"/>
      <c r="E8" s="9"/>
      <c r="F8" s="10">
        <f ca="1">IF(ISNUMBER(VLOOKUP("1.1.1",A5:K40,6,FALSE)),ROUND(VLOOKUP("1.1.1",A5:K40,6,FALSE),4),0) + IF(ISNUMBER(VLOOKUP("1.1.2",A5:K40,6,FALSE)),ROUND(VLOOKUP("1.1.2",A5:K40,6,FALSE),4),0)</f>
        <v>35096038.170000002</v>
      </c>
      <c r="G8" s="10">
        <f ca="1">IF(ISNUMBER(VLOOKUP("1.1.1",A5:K40,7,FALSE)),ROUND(VLOOKUP("1.1.1",A5:K40,7,FALSE),4),0) + IF(ISNUMBER(VLOOKUP("1.1.2",A5:K40,7,FALSE)),ROUND(VLOOKUP("1.1.2",A5:K40,7,FALSE),4),0)</f>
        <v>14027670.42</v>
      </c>
      <c r="H8" s="10">
        <f ca="1">IF(ISNUMBER(VLOOKUP("1.1.1",A5:K40,8,FALSE)),ROUND(VLOOKUP("1.1.1",A5:K40,8,FALSE),4),0) + IF(ISNUMBER(VLOOKUP("1.1.2",A5:K40,8,FALSE)),ROUND(VLOOKUP("1.1.2",A5:K40,8,FALSE),4),0)</f>
        <v>14938393.07</v>
      </c>
      <c r="I8" s="10">
        <f>IF(ISNUMBER(VLOOKUP("1.1.1",A5:K40,9,FALSE)),ROUND(VLOOKUP("1.1.1",A5:K40,9,FALSE),4),0) + IF(ISNUMBER(VLOOKUP("1.1.2",A5:K40,9,FALSE)),ROUND(VLOOKUP("1.1.2",A5:K40,9,FALSE),4),0)</f>
        <v>1201076.79</v>
      </c>
      <c r="J8" s="10">
        <f>IF(ISNUMBER(VLOOKUP("1.1.1",A5:K40,10,FALSE)),ROUND(VLOOKUP("1.1.1",A5:K40,10,FALSE),4),0) + IF(ISNUMBER(VLOOKUP("1.1.2",A5:K40,10,FALSE)),ROUND(VLOOKUP("1.1.2",A5:K40,10,FALSE),4),0)</f>
        <v>266607</v>
      </c>
      <c r="K8" s="10">
        <f ca="1">IF(ISNUMBER(VLOOKUP("1.1.1",A5:K40,11,FALSE)),ROUND(VLOOKUP("1.1.1",A5:K40,11,FALSE),4),0) + IF(ISNUMBER(VLOOKUP("1.1.2",A5:K40,11,FALSE)),ROUND(VLOOKUP("1.1.2",A5:K40,11,FALSE),4),0)</f>
        <v>30433747.280000001</v>
      </c>
    </row>
    <row r="9" spans="1:11" ht="35.1" customHeight="1" x14ac:dyDescent="0.3">
      <c r="A9" s="15" t="s">
        <v>19</v>
      </c>
      <c r="B9" s="16" t="s">
        <v>14</v>
      </c>
      <c r="C9" s="14"/>
      <c r="D9" s="9"/>
      <c r="E9" s="9"/>
      <c r="F9" s="10">
        <f>SUMIF(A10:A40, "1.1.1.*", F10:F40)</f>
        <v>18822311.660000004</v>
      </c>
      <c r="G9" s="10">
        <f>SUMIF(A10:A40, "1.1.1.*", G10:G40)</f>
        <v>6163928.9100000001</v>
      </c>
      <c r="H9" s="10">
        <f>SUMIF(A10:A40, "1.1.1.*", H10:H40)</f>
        <v>6970773.0699999994</v>
      </c>
      <c r="I9" s="10">
        <f>SUMIF(A10:A40, "1.1.1.*", I10:I40)</f>
        <v>1201076.79</v>
      </c>
      <c r="J9" s="10">
        <f>SUMIF(A10:A40, "1.1.1.*", J10:J40)</f>
        <v>266607</v>
      </c>
      <c r="K9" s="10">
        <f>SUMIF(A10:A40, "1.1.1.*", K10:K40)</f>
        <v>14602385.77</v>
      </c>
    </row>
    <row r="10" spans="1:11" ht="35.1" customHeight="1" x14ac:dyDescent="0.3">
      <c r="A10" s="17" t="s">
        <v>20</v>
      </c>
      <c r="B10" s="18" t="s">
        <v>52</v>
      </c>
      <c r="C10" s="19" t="s">
        <v>66</v>
      </c>
      <c r="D10" s="11">
        <v>2024</v>
      </c>
      <c r="E10" s="11">
        <v>2026</v>
      </c>
      <c r="F10" s="12">
        <f>262120+4500.81</f>
        <v>266620.81</v>
      </c>
      <c r="G10" s="12">
        <f>25830+1850+1073+4500.81</f>
        <v>33253.81</v>
      </c>
      <c r="H10" s="13">
        <v>0</v>
      </c>
      <c r="I10" s="13">
        <v>0</v>
      </c>
      <c r="J10" s="13">
        <v>0</v>
      </c>
      <c r="K10" s="12">
        <f>25830+1850+1073+4500.81</f>
        <v>33253.81</v>
      </c>
    </row>
    <row r="11" spans="1:11" ht="35.1" customHeight="1" x14ac:dyDescent="0.3">
      <c r="A11" s="17" t="s">
        <v>21</v>
      </c>
      <c r="B11" s="18" t="s">
        <v>53</v>
      </c>
      <c r="C11" s="19" t="s">
        <v>22</v>
      </c>
      <c r="D11" s="11">
        <v>2024</v>
      </c>
      <c r="E11" s="11">
        <v>2026</v>
      </c>
      <c r="F11" s="12">
        <v>3540510</v>
      </c>
      <c r="G11" s="12">
        <f>398876.63+18685.48</f>
        <v>417562.11</v>
      </c>
      <c r="H11" s="13">
        <v>0</v>
      </c>
      <c r="I11" s="13">
        <v>0</v>
      </c>
      <c r="J11" s="13">
        <v>0</v>
      </c>
      <c r="K11" s="12">
        <f>G11</f>
        <v>417562.11</v>
      </c>
    </row>
    <row r="12" spans="1:11" ht="35.1" customHeight="1" x14ac:dyDescent="0.3">
      <c r="A12" s="17" t="s">
        <v>23</v>
      </c>
      <c r="B12" s="18" t="s">
        <v>54</v>
      </c>
      <c r="C12" s="19" t="s">
        <v>24</v>
      </c>
      <c r="D12" s="11">
        <v>2024</v>
      </c>
      <c r="E12" s="11">
        <v>2027</v>
      </c>
      <c r="F12" s="12">
        <v>1289662</v>
      </c>
      <c r="G12" s="12">
        <f>438416+158381</f>
        <v>596797</v>
      </c>
      <c r="H12" s="12">
        <v>201254</v>
      </c>
      <c r="I12" s="13">
        <v>0</v>
      </c>
      <c r="J12" s="13">
        <v>0</v>
      </c>
      <c r="K12" s="12">
        <f>G12+H12</f>
        <v>798051</v>
      </c>
    </row>
    <row r="13" spans="1:11" ht="35.1" customHeight="1" x14ac:dyDescent="0.3">
      <c r="A13" s="17" t="s">
        <v>25</v>
      </c>
      <c r="B13" s="18" t="s">
        <v>55</v>
      </c>
      <c r="C13" s="19" t="s">
        <v>66</v>
      </c>
      <c r="D13" s="11">
        <v>2025</v>
      </c>
      <c r="E13" s="11">
        <v>2029</v>
      </c>
      <c r="F13" s="12">
        <v>2018982</v>
      </c>
      <c r="G13" s="12">
        <v>600000</v>
      </c>
      <c r="H13" s="12">
        <v>600000</v>
      </c>
      <c r="I13" s="12">
        <v>600000</v>
      </c>
      <c r="J13" s="12">
        <v>218982</v>
      </c>
      <c r="K13" s="12">
        <v>2018982</v>
      </c>
    </row>
    <row r="14" spans="1:11" ht="35.1" customHeight="1" x14ac:dyDescent="0.3">
      <c r="A14" s="17" t="s">
        <v>26</v>
      </c>
      <c r="B14" s="18" t="s">
        <v>56</v>
      </c>
      <c r="C14" s="19" t="s">
        <v>66</v>
      </c>
      <c r="D14" s="11">
        <v>2025</v>
      </c>
      <c r="E14" s="11">
        <v>2028</v>
      </c>
      <c r="F14" s="12">
        <f>4144124+3785268-147426</f>
        <v>7781966</v>
      </c>
      <c r="G14" s="12">
        <v>2970416</v>
      </c>
      <c r="H14" s="12">
        <v>4169775</v>
      </c>
      <c r="I14" s="12">
        <f>37141+232634</f>
        <v>269775</v>
      </c>
      <c r="J14" s="13">
        <v>0</v>
      </c>
      <c r="K14" s="12">
        <v>7409966</v>
      </c>
    </row>
    <row r="15" spans="1:11" ht="35.1" customHeight="1" x14ac:dyDescent="0.3">
      <c r="A15" s="17" t="s">
        <v>27</v>
      </c>
      <c r="B15" s="18" t="s">
        <v>57</v>
      </c>
      <c r="C15" s="19" t="s">
        <v>66</v>
      </c>
      <c r="D15" s="11">
        <v>2025</v>
      </c>
      <c r="E15" s="11">
        <v>2029</v>
      </c>
      <c r="F15" s="12">
        <v>401000</v>
      </c>
      <c r="G15" s="12">
        <v>142875</v>
      </c>
      <c r="H15" s="12">
        <v>115250</v>
      </c>
      <c r="I15" s="12">
        <v>95250</v>
      </c>
      <c r="J15" s="12">
        <v>47625</v>
      </c>
      <c r="K15" s="12">
        <v>401000</v>
      </c>
    </row>
    <row r="16" spans="1:11" ht="35.1" customHeight="1" x14ac:dyDescent="0.3">
      <c r="A16" s="17" t="s">
        <v>28</v>
      </c>
      <c r="B16" s="18" t="s">
        <v>58</v>
      </c>
      <c r="C16" s="19" t="s">
        <v>22</v>
      </c>
      <c r="D16" s="11">
        <v>2026</v>
      </c>
      <c r="E16" s="11">
        <v>2027</v>
      </c>
      <c r="F16" s="12">
        <v>161510</v>
      </c>
      <c r="G16" s="12">
        <v>107673.32</v>
      </c>
      <c r="H16" s="12">
        <v>53836.68</v>
      </c>
      <c r="I16" s="13">
        <v>0</v>
      </c>
      <c r="J16" s="13">
        <v>0</v>
      </c>
      <c r="K16" s="12">
        <v>161510</v>
      </c>
    </row>
    <row r="17" spans="1:11" ht="35.1" customHeight="1" x14ac:dyDescent="0.3">
      <c r="A17" s="17" t="s">
        <v>72</v>
      </c>
      <c r="B17" s="18" t="s">
        <v>69</v>
      </c>
      <c r="C17" s="19" t="s">
        <v>22</v>
      </c>
      <c r="D17" s="11">
        <v>2026</v>
      </c>
      <c r="E17" s="11">
        <v>2028</v>
      </c>
      <c r="F17" s="12">
        <v>1368500</v>
      </c>
      <c r="G17" s="12">
        <v>874900</v>
      </c>
      <c r="H17" s="12">
        <v>405400</v>
      </c>
      <c r="I17" s="21">
        <v>88200</v>
      </c>
      <c r="J17" s="13">
        <v>0</v>
      </c>
      <c r="K17" s="12">
        <f>G17+H17+I17</f>
        <v>1368500</v>
      </c>
    </row>
    <row r="18" spans="1:11" s="7" customFormat="1" ht="35.1" customHeight="1" x14ac:dyDescent="0.3">
      <c r="A18" s="17" t="s">
        <v>73</v>
      </c>
      <c r="B18" s="18" t="s">
        <v>75</v>
      </c>
      <c r="C18" s="19" t="s">
        <v>76</v>
      </c>
      <c r="D18" s="11">
        <v>2026</v>
      </c>
      <c r="E18" s="11">
        <v>2027</v>
      </c>
      <c r="F18" s="12">
        <v>343854</v>
      </c>
      <c r="G18" s="12">
        <v>11412</v>
      </c>
      <c r="H18" s="12">
        <v>332442</v>
      </c>
      <c r="I18" s="13">
        <v>0</v>
      </c>
      <c r="J18" s="13">
        <v>0</v>
      </c>
      <c r="K18" s="12">
        <f>G18+H18</f>
        <v>343854</v>
      </c>
    </row>
    <row r="19" spans="1:11" s="7" customFormat="1" ht="35.1" customHeight="1" x14ac:dyDescent="0.3">
      <c r="A19" s="17" t="s">
        <v>74</v>
      </c>
      <c r="B19" s="18" t="s">
        <v>77</v>
      </c>
      <c r="C19" s="19" t="s">
        <v>66</v>
      </c>
      <c r="D19" s="11">
        <v>2026</v>
      </c>
      <c r="E19" s="11">
        <v>2028</v>
      </c>
      <c r="F19" s="12">
        <v>1649706.85</v>
      </c>
      <c r="G19" s="12">
        <v>409039.67</v>
      </c>
      <c r="H19" s="12">
        <v>1092815.3899999999</v>
      </c>
      <c r="I19" s="21">
        <v>147851.79</v>
      </c>
      <c r="J19" s="13">
        <v>0</v>
      </c>
      <c r="K19" s="12">
        <f>G19+H19+I19</f>
        <v>1649706.8499999999</v>
      </c>
    </row>
    <row r="20" spans="1:11" ht="35.1" customHeight="1" x14ac:dyDescent="0.3">
      <c r="A20" s="15" t="s">
        <v>29</v>
      </c>
      <c r="B20" s="16" t="s">
        <v>16</v>
      </c>
      <c r="C20" s="20"/>
      <c r="D20" s="9"/>
      <c r="E20" s="9"/>
      <c r="F20" s="10">
        <f ca="1">SUMIF(A21:A40, "1.1.2.*", F21:F30)</f>
        <v>16273726.51</v>
      </c>
      <c r="G20" s="10">
        <f ca="1">SUMIF(A21:A40, "1.1.2.*", G21:G30)</f>
        <v>7863741.5099999998</v>
      </c>
      <c r="H20" s="10">
        <f ca="1">SUMIF(A21:A40, "1.1.2.*", H21:H30)</f>
        <v>7967620</v>
      </c>
      <c r="I20" s="10">
        <f>SUMIF(A21:A40, "1.1.2.*", I21:I40)</f>
        <v>0</v>
      </c>
      <c r="J20" s="10">
        <f>SUMIF(A21:A40, "1.1.2.*", J21:J40)</f>
        <v>0</v>
      </c>
      <c r="K20" s="10">
        <f ca="1">SUMIF(A21:A40, "1.1.2.*", K21:K30)</f>
        <v>15831361.51</v>
      </c>
    </row>
    <row r="21" spans="1:11" s="7" customFormat="1" ht="35.1" customHeight="1" x14ac:dyDescent="0.3">
      <c r="A21" s="17" t="s">
        <v>30</v>
      </c>
      <c r="B21" s="18" t="s">
        <v>59</v>
      </c>
      <c r="C21" s="19" t="s">
        <v>66</v>
      </c>
      <c r="D21" s="11">
        <v>2025</v>
      </c>
      <c r="E21" s="11">
        <v>2027</v>
      </c>
      <c r="F21" s="12">
        <v>4794919</v>
      </c>
      <c r="G21" s="12">
        <v>3003235</v>
      </c>
      <c r="H21" s="12">
        <v>1536921</v>
      </c>
      <c r="I21" s="13">
        <v>0</v>
      </c>
      <c r="J21" s="13">
        <v>0</v>
      </c>
      <c r="K21" s="12">
        <f>G21+H21</f>
        <v>4540156</v>
      </c>
    </row>
    <row r="22" spans="1:11" s="7" customFormat="1" ht="39.75" customHeight="1" x14ac:dyDescent="0.3">
      <c r="A22" s="17" t="s">
        <v>31</v>
      </c>
      <c r="B22" s="18" t="s">
        <v>60</v>
      </c>
      <c r="C22" s="19" t="s">
        <v>66</v>
      </c>
      <c r="D22" s="11">
        <v>2025</v>
      </c>
      <c r="E22" s="11">
        <v>2027</v>
      </c>
      <c r="F22" s="12">
        <v>2817900</v>
      </c>
      <c r="G22" s="12">
        <v>1132984</v>
      </c>
      <c r="H22" s="12">
        <v>1648016</v>
      </c>
      <c r="I22" s="13">
        <v>0</v>
      </c>
      <c r="J22" s="13">
        <v>0</v>
      </c>
      <c r="K22" s="12">
        <f>G22+H22</f>
        <v>2781000</v>
      </c>
    </row>
    <row r="23" spans="1:11" s="7" customFormat="1" ht="35.1" customHeight="1" x14ac:dyDescent="0.3">
      <c r="A23" s="17" t="s">
        <v>32</v>
      </c>
      <c r="B23" s="18" t="s">
        <v>61</v>
      </c>
      <c r="C23" s="19" t="s">
        <v>66</v>
      </c>
      <c r="D23" s="11">
        <v>2025</v>
      </c>
      <c r="E23" s="11">
        <v>2027</v>
      </c>
      <c r="F23" s="12">
        <v>5600001</v>
      </c>
      <c r="G23" s="12">
        <v>1410337</v>
      </c>
      <c r="H23" s="12">
        <v>4134313</v>
      </c>
      <c r="I23" s="13">
        <v>0</v>
      </c>
      <c r="J23" s="13">
        <v>0</v>
      </c>
      <c r="K23" s="12">
        <f>G23+H23</f>
        <v>5544650</v>
      </c>
    </row>
    <row r="24" spans="1:11" s="7" customFormat="1" ht="35.1" customHeight="1" x14ac:dyDescent="0.3">
      <c r="A24" s="17" t="s">
        <v>33</v>
      </c>
      <c r="B24" s="18" t="s">
        <v>57</v>
      </c>
      <c r="C24" s="19" t="s">
        <v>66</v>
      </c>
      <c r="D24" s="11">
        <v>2025</v>
      </c>
      <c r="E24" s="11">
        <v>2029</v>
      </c>
      <c r="F24" s="12">
        <v>269370</v>
      </c>
      <c r="G24" s="12">
        <v>269370</v>
      </c>
      <c r="H24" s="12">
        <v>0</v>
      </c>
      <c r="I24" s="12">
        <v>0</v>
      </c>
      <c r="J24" s="12">
        <v>0</v>
      </c>
      <c r="K24" s="12">
        <v>269370</v>
      </c>
    </row>
    <row r="25" spans="1:11" s="7" customFormat="1" ht="35.1" customHeight="1" x14ac:dyDescent="0.3">
      <c r="A25" s="17" t="s">
        <v>34</v>
      </c>
      <c r="B25" s="18" t="s">
        <v>54</v>
      </c>
      <c r="C25" s="19" t="s">
        <v>24</v>
      </c>
      <c r="D25" s="11">
        <v>2024</v>
      </c>
      <c r="E25" s="11">
        <v>2027</v>
      </c>
      <c r="F25" s="12">
        <v>40000</v>
      </c>
      <c r="G25" s="12">
        <v>0</v>
      </c>
      <c r="H25" s="12">
        <v>0</v>
      </c>
      <c r="I25" s="13">
        <v>0</v>
      </c>
      <c r="J25" s="13">
        <v>0</v>
      </c>
      <c r="K25" s="12">
        <v>0</v>
      </c>
    </row>
    <row r="26" spans="1:11" s="7" customFormat="1" ht="35.1" customHeight="1" x14ac:dyDescent="0.3">
      <c r="A26" s="17" t="s">
        <v>35</v>
      </c>
      <c r="B26" s="18" t="s">
        <v>62</v>
      </c>
      <c r="C26" s="19" t="s">
        <v>66</v>
      </c>
      <c r="D26" s="11">
        <v>2025</v>
      </c>
      <c r="E26" s="11">
        <v>2026</v>
      </c>
      <c r="F26" s="12">
        <v>750000</v>
      </c>
      <c r="G26" s="12">
        <v>725400</v>
      </c>
      <c r="H26" s="13">
        <v>0</v>
      </c>
      <c r="I26" s="13">
        <v>0</v>
      </c>
      <c r="J26" s="13">
        <v>0</v>
      </c>
      <c r="K26" s="12">
        <v>725400</v>
      </c>
    </row>
    <row r="27" spans="1:11" s="7" customFormat="1" ht="35.1" customHeight="1" x14ac:dyDescent="0.3">
      <c r="A27" s="17" t="s">
        <v>36</v>
      </c>
      <c r="B27" s="18" t="s">
        <v>55</v>
      </c>
      <c r="C27" s="19" t="s">
        <v>66</v>
      </c>
      <c r="D27" s="11">
        <v>2025</v>
      </c>
      <c r="E27" s="11">
        <v>2029</v>
      </c>
      <c r="F27" s="12">
        <v>280751</v>
      </c>
      <c r="G27" s="12">
        <v>250000</v>
      </c>
      <c r="H27" s="12">
        <v>0</v>
      </c>
      <c r="I27" s="12">
        <v>0</v>
      </c>
      <c r="J27" s="12">
        <v>0</v>
      </c>
      <c r="K27" s="12">
        <v>250000</v>
      </c>
    </row>
    <row r="28" spans="1:11" s="7" customFormat="1" ht="41.25" customHeight="1" x14ac:dyDescent="0.3">
      <c r="A28" s="17" t="s">
        <v>37</v>
      </c>
      <c r="B28" s="18" t="s">
        <v>56</v>
      </c>
      <c r="C28" s="19" t="s">
        <v>66</v>
      </c>
      <c r="D28" s="11">
        <v>2025</v>
      </c>
      <c r="E28" s="11">
        <v>2028</v>
      </c>
      <c r="F28" s="12">
        <v>624584</v>
      </c>
      <c r="G28" s="12">
        <v>624584</v>
      </c>
      <c r="H28" s="12">
        <v>0</v>
      </c>
      <c r="I28" s="12">
        <v>0</v>
      </c>
      <c r="J28" s="13">
        <v>0</v>
      </c>
      <c r="K28" s="12">
        <v>624584</v>
      </c>
    </row>
    <row r="29" spans="1:11" s="7" customFormat="1" ht="35.1" customHeight="1" x14ac:dyDescent="0.3">
      <c r="A29" s="17" t="s">
        <v>38</v>
      </c>
      <c r="B29" s="18" t="s">
        <v>63</v>
      </c>
      <c r="C29" s="19" t="s">
        <v>66</v>
      </c>
      <c r="D29" s="11">
        <v>2026</v>
      </c>
      <c r="E29" s="11">
        <v>2027</v>
      </c>
      <c r="F29" s="12">
        <v>1093640</v>
      </c>
      <c r="G29" s="12">
        <v>445270</v>
      </c>
      <c r="H29" s="12">
        <v>648370</v>
      </c>
      <c r="I29" s="13">
        <v>0</v>
      </c>
      <c r="J29" s="13">
        <v>0</v>
      </c>
      <c r="K29" s="12">
        <f>G29+H29</f>
        <v>1093640</v>
      </c>
    </row>
    <row r="30" spans="1:11" ht="35.1" customHeight="1" x14ac:dyDescent="0.3">
      <c r="A30" s="17" t="s">
        <v>70</v>
      </c>
      <c r="B30" s="18" t="s">
        <v>52</v>
      </c>
      <c r="C30" s="19" t="s">
        <v>66</v>
      </c>
      <c r="D30" s="11">
        <v>2024</v>
      </c>
      <c r="E30" s="11">
        <v>2026</v>
      </c>
      <c r="F30" s="12">
        <v>2561.5100000000002</v>
      </c>
      <c r="G30" s="12">
        <v>2561.5100000000002</v>
      </c>
      <c r="H30" s="13">
        <v>0</v>
      </c>
      <c r="I30" s="13">
        <v>0</v>
      </c>
      <c r="J30" s="13">
        <v>0</v>
      </c>
      <c r="K30" s="12">
        <v>2561.5100000000002</v>
      </c>
    </row>
    <row r="31" spans="1:11" s="7" customFormat="1" ht="35.1" customHeight="1" x14ac:dyDescent="0.3">
      <c r="A31" s="15" t="s">
        <v>39</v>
      </c>
      <c r="B31" s="16" t="s">
        <v>40</v>
      </c>
      <c r="C31" s="20"/>
      <c r="D31" s="9"/>
      <c r="E31" s="9"/>
      <c r="F31" s="10">
        <f>IF(ISNUMBER(VLOOKUP("1.2.1",A5:K40,6,FALSE)),ROUND(VLOOKUP("1.2.1",A5:K40,6,FALSE),4),0) + IF(ISNUMBER(VLOOKUP("1.2.2",A5:K40,6,FALSE)),ROUND(VLOOKUP("1.2.2",A5:K40,6,FALSE),4),0)</f>
        <v>0</v>
      </c>
      <c r="G31" s="10">
        <f>IF(ISNUMBER(VLOOKUP("1.2.1",A5:K40,7,FALSE)),ROUND(VLOOKUP("1.2.1",A5:K40,7,FALSE),4),0) + IF(ISNUMBER(VLOOKUP("1.2.2",A5:K40,7,FALSE)),ROUND(VLOOKUP("1.2.2",A5:K40,7,FALSE),4),0)</f>
        <v>0</v>
      </c>
      <c r="H31" s="10">
        <f>IF(ISNUMBER(VLOOKUP("1.2.1",A5:K40,8,FALSE)),ROUND(VLOOKUP("1.2.1",A5:K40,8,FALSE),4),0) + IF(ISNUMBER(VLOOKUP("1.2.2",A5:K40,8,FALSE)),ROUND(VLOOKUP("1.2.2",A5:K40,8,FALSE),4),0)</f>
        <v>0</v>
      </c>
      <c r="I31" s="10">
        <f>IF(ISNUMBER(VLOOKUP("1.2.1",A5:K40,9,FALSE)),ROUND(VLOOKUP("1.2.1",A5:K40,9,FALSE),4),0) + IF(ISNUMBER(VLOOKUP("1.2.2",A5:K40,9,FALSE)),ROUND(VLOOKUP("1.2.2",A5:K40,9,FALSE),4),0)</f>
        <v>0</v>
      </c>
      <c r="J31" s="10">
        <f>IF(ISNUMBER(VLOOKUP("1.2.1",A5:K40,10,FALSE)),ROUND(VLOOKUP("1.2.1",A5:K40,10,FALSE),4),0) + IF(ISNUMBER(VLOOKUP("1.2.2",A5:K40,10,FALSE)),ROUND(VLOOKUP("1.2.2",A5:K40,10,FALSE),4),0)</f>
        <v>0</v>
      </c>
      <c r="K31" s="10">
        <f>IF(ISNUMBER(VLOOKUP("1.2.1",A5:K40,11,FALSE)),ROUND(VLOOKUP("1.2.1",A5:K40,11,FALSE),4),0) + IF(ISNUMBER(VLOOKUP("1.2.2",A5:K40,11,FALSE)),ROUND(VLOOKUP("1.2.2",A5:K40,11,FALSE),4),0)</f>
        <v>0</v>
      </c>
    </row>
    <row r="32" spans="1:11" s="7" customFormat="1" ht="35.1" customHeight="1" x14ac:dyDescent="0.3">
      <c r="A32" s="15" t="s">
        <v>41</v>
      </c>
      <c r="B32" s="16" t="s">
        <v>14</v>
      </c>
      <c r="C32" s="20"/>
      <c r="D32" s="9"/>
      <c r="E32" s="9"/>
      <c r="F32" s="10">
        <f>SUMIF(A33:A40, "1.2.1.*", F33:F40)</f>
        <v>0</v>
      </c>
      <c r="G32" s="10">
        <f>SUMIF(A33:A40, "1.2.1.*", G33:G40)</f>
        <v>0</v>
      </c>
      <c r="H32" s="10">
        <f>SUMIF(A33:A40, "1.2.1.*", H33:H40)</f>
        <v>0</v>
      </c>
      <c r="I32" s="10">
        <f>SUMIF(A33:A40, "1.2.1.*", I33:I40)</f>
        <v>0</v>
      </c>
      <c r="J32" s="10">
        <f>SUMIF(A33:A40, "1.2.1.*", J33:J40)</f>
        <v>0</v>
      </c>
      <c r="K32" s="10">
        <f>SUMIF(A33:A40, "1.2.1.*", K33:K40)</f>
        <v>0</v>
      </c>
    </row>
    <row r="33" spans="1:11" s="7" customFormat="1" ht="35.1" customHeight="1" x14ac:dyDescent="0.3">
      <c r="A33" s="15" t="s">
        <v>42</v>
      </c>
      <c r="B33" s="16" t="s">
        <v>16</v>
      </c>
      <c r="C33" s="20"/>
      <c r="D33" s="9"/>
      <c r="E33" s="9"/>
      <c r="F33" s="10">
        <f>SUMIF(A34:A40, "1.2.2.*", F34:F40)</f>
        <v>0</v>
      </c>
      <c r="G33" s="10">
        <f>SUMIF(A34:A40, "1.2.2.*", G34:G40)</f>
        <v>0</v>
      </c>
      <c r="H33" s="10">
        <f>SUMIF(A34:A40, "1.2.2.*", H34:H40)</f>
        <v>0</v>
      </c>
      <c r="I33" s="10">
        <f>SUMIF(A34:A40, "1.2.2.*", I34:I40)</f>
        <v>0</v>
      </c>
      <c r="J33" s="10">
        <f>SUMIF(A34:A40, "1.2.2.*", J34:J40)</f>
        <v>0</v>
      </c>
      <c r="K33" s="10">
        <f>SUMIF(A34:A40, "1.2.2.*", K34:K40)</f>
        <v>0</v>
      </c>
    </row>
    <row r="34" spans="1:11" s="7" customFormat="1" ht="35.1" customHeight="1" x14ac:dyDescent="0.3">
      <c r="A34" s="15" t="s">
        <v>43</v>
      </c>
      <c r="B34" s="16" t="s">
        <v>44</v>
      </c>
      <c r="C34" s="20"/>
      <c r="D34" s="9"/>
      <c r="E34" s="9"/>
      <c r="F34" s="10">
        <f>IF(ISNUMBER(VLOOKUP("1.3.1",A5:K40,6,FALSE)),ROUND(VLOOKUP("1.3.1",A5:K40,6,FALSE),4),0) + IF(ISNUMBER(VLOOKUP("1.3.2",A5:K40,6,FALSE)),ROUND(VLOOKUP("1.3.2",A5:K40,6,FALSE),4),0)</f>
        <v>5173758</v>
      </c>
      <c r="G34" s="10">
        <f>IF(ISNUMBER(VLOOKUP("1.3.1",A5:K40,7,FALSE)),ROUND(VLOOKUP("1.3.1",A5:K40,7,FALSE),4),0) + IF(ISNUMBER(VLOOKUP("1.3.2",A5:K40,7,FALSE)),ROUND(VLOOKUP("1.3.2",A5:K40,7,FALSE),4),0)</f>
        <v>2706792</v>
      </c>
      <c r="H34" s="10">
        <f>IF(ISNUMBER(VLOOKUP("1.3.1",A5:K40,8,FALSE)),ROUND(VLOOKUP("1.3.1",A5:K40,8,FALSE),4),0) + IF(ISNUMBER(VLOOKUP("1.3.2",A5:K40,8,FALSE)),ROUND(VLOOKUP("1.3.2",A5:K40,8,FALSE),4),0)</f>
        <v>1788248</v>
      </c>
      <c r="I34" s="10">
        <f>IF(ISNUMBER(VLOOKUP("1.3.1",A5:K40,9,FALSE)),ROUND(VLOOKUP("1.3.1",A5:K40,9,FALSE),4),0) + IF(ISNUMBER(VLOOKUP("1.3.2",A5:K40,9,FALSE)),ROUND(VLOOKUP("1.3.2",A5:K40,9,FALSE),4),0)</f>
        <v>0</v>
      </c>
      <c r="J34" s="10">
        <f>IF(ISNUMBER(VLOOKUP("1.3.1",A5:K40,10,FALSE)),ROUND(VLOOKUP("1.3.1",A5:K40,10,FALSE),4),0) + IF(ISNUMBER(VLOOKUP("1.3.2",A5:K40,10,FALSE)),ROUND(VLOOKUP("1.3.2",A5:K40,10,FALSE),4),0)</f>
        <v>0</v>
      </c>
      <c r="K34" s="10">
        <f>IF(ISNUMBER(VLOOKUP("1.3.1",A5:K40,11,FALSE)),ROUND(VLOOKUP("1.3.1",A5:K40,11,FALSE),4),0) + IF(ISNUMBER(VLOOKUP("1.3.2",A5:K40,11,FALSE)),ROUND(VLOOKUP("1.3.2",A5:K40,11,FALSE),4),0)</f>
        <v>4495040</v>
      </c>
    </row>
    <row r="35" spans="1:11" s="7" customFormat="1" ht="35.1" customHeight="1" x14ac:dyDescent="0.3">
      <c r="A35" s="15" t="s">
        <v>45</v>
      </c>
      <c r="B35" s="16" t="s">
        <v>14</v>
      </c>
      <c r="C35" s="20"/>
      <c r="D35" s="9"/>
      <c r="E35" s="9"/>
      <c r="F35" s="10">
        <f>SUMIF(A36:A40, "1.3.1.*", F36:F40)</f>
        <v>798138</v>
      </c>
      <c r="G35" s="10">
        <f>SUMIF(A36:A40, "1.3.1.*", G36:G40)</f>
        <v>189420</v>
      </c>
      <c r="H35" s="10">
        <f>SUMIF(A36:A40, "1.3.1.*", H36:H40)</f>
        <v>0</v>
      </c>
      <c r="I35" s="10">
        <f>SUMIF(A36:A40, "1.3.1.*", I36:I40)</f>
        <v>0</v>
      </c>
      <c r="J35" s="10">
        <f>SUMIF(A36:A40, "1.3.1.*", J36:J40)</f>
        <v>0</v>
      </c>
      <c r="K35" s="10">
        <f>SUMIF(A36:A40, "1.3.1.*", K36:K40)</f>
        <v>189420</v>
      </c>
    </row>
    <row r="36" spans="1:11" s="7" customFormat="1" ht="49.5" customHeight="1" x14ac:dyDescent="0.3">
      <c r="A36" s="17" t="s">
        <v>46</v>
      </c>
      <c r="B36" s="18" t="s">
        <v>64</v>
      </c>
      <c r="C36" s="19" t="s">
        <v>67</v>
      </c>
      <c r="D36" s="11">
        <v>2022</v>
      </c>
      <c r="E36" s="11">
        <v>2026</v>
      </c>
      <c r="F36" s="12">
        <v>798138</v>
      </c>
      <c r="G36" s="12">
        <v>189420</v>
      </c>
      <c r="H36" s="13">
        <v>0</v>
      </c>
      <c r="I36" s="13">
        <v>0</v>
      </c>
      <c r="J36" s="13">
        <v>0</v>
      </c>
      <c r="K36" s="12">
        <v>189420</v>
      </c>
    </row>
    <row r="37" spans="1:11" s="7" customFormat="1" ht="35.1" customHeight="1" x14ac:dyDescent="0.3">
      <c r="A37" s="15" t="s">
        <v>47</v>
      </c>
      <c r="B37" s="16" t="s">
        <v>16</v>
      </c>
      <c r="C37" s="20"/>
      <c r="D37" s="9"/>
      <c r="E37" s="9"/>
      <c r="F37" s="10">
        <f>F38+F39</f>
        <v>4375620</v>
      </c>
      <c r="G37" s="10">
        <f>G38+G39</f>
        <v>2517372</v>
      </c>
      <c r="H37" s="10">
        <f>H38+H39</f>
        <v>1788248</v>
      </c>
      <c r="I37" s="10">
        <f>SUMIF(A39:A40, "1.3.2.*", I39:I40)</f>
        <v>0</v>
      </c>
      <c r="J37" s="10">
        <f>SUMIF(A39:A40, "1.3.2.*", J39:J40)</f>
        <v>0</v>
      </c>
      <c r="K37" s="10">
        <f>SUMIF(A39:A40, "1.3.2.*", K39:K40)+K38</f>
        <v>4305620</v>
      </c>
    </row>
    <row r="38" spans="1:11" s="7" customFormat="1" ht="35.1" customHeight="1" x14ac:dyDescent="0.3">
      <c r="A38" s="17" t="s">
        <v>48</v>
      </c>
      <c r="B38" s="18" t="s">
        <v>68</v>
      </c>
      <c r="C38" s="19" t="s">
        <v>66</v>
      </c>
      <c r="D38" s="11">
        <v>2025</v>
      </c>
      <c r="E38" s="11">
        <v>2027</v>
      </c>
      <c r="F38" s="12">
        <f>2570000+430000</f>
        <v>3000000</v>
      </c>
      <c r="G38" s="12">
        <f>1250000+430000</f>
        <v>1680000</v>
      </c>
      <c r="H38" s="12">
        <v>1250000</v>
      </c>
      <c r="I38" s="13">
        <v>0</v>
      </c>
      <c r="J38" s="13">
        <v>0</v>
      </c>
      <c r="K38" s="12">
        <f>G38+H38</f>
        <v>2930000</v>
      </c>
    </row>
    <row r="39" spans="1:11" s="7" customFormat="1" ht="35.1" customHeight="1" x14ac:dyDescent="0.3">
      <c r="A39" s="17" t="s">
        <v>51</v>
      </c>
      <c r="B39" s="18" t="s">
        <v>65</v>
      </c>
      <c r="C39" s="19" t="s">
        <v>66</v>
      </c>
      <c r="D39" s="11">
        <v>2026</v>
      </c>
      <c r="E39" s="11">
        <v>2027</v>
      </c>
      <c r="F39" s="12">
        <v>1375620</v>
      </c>
      <c r="G39" s="12">
        <v>837372</v>
      </c>
      <c r="H39" s="12">
        <v>538248</v>
      </c>
      <c r="I39" s="13">
        <v>0</v>
      </c>
      <c r="J39" s="13">
        <v>0</v>
      </c>
      <c r="K39" s="12">
        <v>1375620</v>
      </c>
    </row>
    <row r="40" spans="1:11" s="7" customFormat="1" x14ac:dyDescent="0.3">
      <c r="C40" s="22"/>
    </row>
  </sheetData>
  <conditionalFormatting sqref="B9:K9">
    <cfRule type="beginsWith" dxfId="9" priority="1" operator="beginsWith" text="Tak">
      <formula>LEFT(B9,LEN("Tak"))="Tak"</formula>
    </cfRule>
    <cfRule type="beginsWith" dxfId="8" priority="2" operator="beginsWith" text="Nie">
      <formula>LEFT(B9,LEN("Nie"))="Nie"</formula>
    </cfRule>
  </conditionalFormatting>
  <conditionalFormatting sqref="B20:K20">
    <cfRule type="beginsWith" dxfId="7" priority="3" operator="beginsWith" text="Tak">
      <formula>LEFT(B20,LEN("Tak"))="Tak"</formula>
    </cfRule>
    <cfRule type="beginsWith" dxfId="6" priority="4" operator="beginsWith" text="Nie">
      <formula>LEFT(B20,LEN("Nie"))="Nie"</formula>
    </cfRule>
  </conditionalFormatting>
  <conditionalFormatting sqref="B32:K33">
    <cfRule type="beginsWith" dxfId="5" priority="5" operator="beginsWith" text="Tak">
      <formula>LEFT(B32,LEN("Tak"))="Tak"</formula>
    </cfRule>
    <cfRule type="beginsWith" dxfId="4" priority="6" operator="beginsWith" text="Nie">
      <formula>LEFT(B32,LEN("Nie"))="Nie"</formula>
    </cfRule>
  </conditionalFormatting>
  <conditionalFormatting sqref="B35:K35">
    <cfRule type="beginsWith" dxfId="3" priority="9" operator="beginsWith" text="Tak">
      <formula>LEFT(B35,LEN("Tak"))="Tak"</formula>
    </cfRule>
    <cfRule type="beginsWith" dxfId="2" priority="10" operator="beginsWith" text="Nie">
      <formula>LEFT(B35,LEN("Nie"))="Nie"</formula>
    </cfRule>
  </conditionalFormatting>
  <conditionalFormatting sqref="B37:K37">
    <cfRule type="beginsWith" dxfId="1" priority="11" operator="beginsWith" text="Tak">
      <formula>LEFT(B37,LEN("Tak"))="Tak"</formula>
    </cfRule>
    <cfRule type="beginsWith" dxfId="0" priority="12" operator="beginsWith" text="Nie">
      <formula>LEFT(B37,LEN("Nie"))="Nie"</formula>
    </cfRule>
  </conditionalFormatting>
  <pageMargins left="0.31496062992125984" right="0" top="0.35433070866141736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Wieloletnia prognoza finansowa</dc:title>
  <dc:subject>ePublink WPF - Załącznik 2</dc:subject>
  <dc:creator>http://www.publink.com/</dc:creator>
  <cp:keywords>wpf, wieloletnia prognoza finansowa, wpf asystent</cp:keywords>
  <cp:lastModifiedBy>Marta Kozik</cp:lastModifiedBy>
  <cp:lastPrinted>2026-05-07T09:38:15Z</cp:lastPrinted>
  <dcterms:modified xsi:type="dcterms:W3CDTF">2026-10-21T08:43:38Z</dcterms:modified>
</cp:coreProperties>
</file>