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4\uchwaly\XXIV 123 26 wpf\"/>
    </mc:Choice>
  </mc:AlternateContent>
  <xr:revisionPtr revIDLastSave="0" documentId="13_ncr:1_{12AD5E33-267C-4FA8-AA48-141C4A0879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2" sheetId="1" r:id="rId1"/>
  </sheets>
  <calcPr calcId="181029"/>
</workbook>
</file>

<file path=xl/calcChain.xml><?xml version="1.0" encoding="utf-8"?>
<calcChain xmlns="http://schemas.openxmlformats.org/spreadsheetml/2006/main">
  <c r="F33" i="1" l="1"/>
  <c r="F17" i="1"/>
  <c r="F7" i="1" s="1"/>
  <c r="K14" i="1"/>
  <c r="I14" i="1"/>
  <c r="H14" i="1"/>
  <c r="G14" i="1"/>
  <c r="F14" i="1"/>
  <c r="K33" i="1"/>
  <c r="H33" i="1"/>
  <c r="G33" i="1"/>
  <c r="K34" i="1"/>
  <c r="K10" i="1"/>
  <c r="G10" i="1"/>
  <c r="K12" i="1"/>
  <c r="K11" i="1"/>
  <c r="K9" i="1" s="1"/>
  <c r="G11" i="1"/>
  <c r="G12" i="1"/>
  <c r="J33" i="1"/>
  <c r="I33" i="1"/>
  <c r="K31" i="1"/>
  <c r="J31" i="1"/>
  <c r="J30" i="1" s="1"/>
  <c r="I31" i="1"/>
  <c r="H31" i="1"/>
  <c r="G31" i="1"/>
  <c r="F31" i="1"/>
  <c r="K29" i="1"/>
  <c r="J29" i="1"/>
  <c r="I29" i="1"/>
  <c r="H29" i="1"/>
  <c r="G29" i="1"/>
  <c r="F29" i="1"/>
  <c r="K28" i="1"/>
  <c r="J28" i="1"/>
  <c r="I28" i="1"/>
  <c r="H28" i="1"/>
  <c r="G28" i="1"/>
  <c r="F28" i="1"/>
  <c r="K17" i="1"/>
  <c r="J17" i="1"/>
  <c r="I17" i="1"/>
  <c r="H17" i="1"/>
  <c r="G17" i="1"/>
  <c r="J9" i="1"/>
  <c r="I9" i="1"/>
  <c r="H9" i="1"/>
  <c r="G9" i="1"/>
  <c r="F9" i="1"/>
  <c r="K30" i="1" l="1"/>
  <c r="H30" i="1"/>
  <c r="G30" i="1"/>
  <c r="F6" i="1"/>
  <c r="F5" i="1"/>
  <c r="G8" i="1"/>
  <c r="F30" i="1"/>
  <c r="I30" i="1"/>
  <c r="F8" i="1"/>
  <c r="I6" i="1"/>
  <c r="J27" i="1"/>
  <c r="H6" i="1"/>
  <c r="G6" i="1"/>
  <c r="G27" i="1"/>
  <c r="H8" i="1"/>
  <c r="K8" i="1"/>
  <c r="K6" i="1"/>
  <c r="I7" i="1"/>
  <c r="J7" i="1"/>
  <c r="J6" i="1"/>
  <c r="K27" i="1"/>
  <c r="G7" i="1"/>
  <c r="H27" i="1"/>
  <c r="I27" i="1"/>
  <c r="I8" i="1"/>
  <c r="J8" i="1"/>
  <c r="H7" i="1"/>
  <c r="F27" i="1"/>
  <c r="K7" i="1"/>
  <c r="K5" i="1" l="1"/>
  <c r="J5" i="1"/>
  <c r="G5" i="1"/>
  <c r="I5" i="1"/>
  <c r="H5" i="1"/>
</calcChain>
</file>

<file path=xl/sharedStrings.xml><?xml version="1.0" encoding="utf-8"?>
<sst xmlns="http://schemas.openxmlformats.org/spreadsheetml/2006/main" count="96" uniqueCount="71">
  <si>
    <t>Lp.</t>
  </si>
  <si>
    <t>Nazwa i cel</t>
  </si>
  <si>
    <t>Jednostka</t>
  </si>
  <si>
    <t>Od</t>
  </si>
  <si>
    <t>Do</t>
  </si>
  <si>
    <t>Nakłady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</si>
  <si>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</si>
  <si>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</si>
  <si>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</si>
  <si>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</si>
  <si>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</si>
  <si>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</si>
  <si>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</si>
  <si>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</si>
  <si>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</si>
  <si>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</si>
  <si>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</si>
  <si>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</si>
  <si>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</si>
  <si>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</si>
  <si>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</si>
  <si>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>1.1.1.2</t>
  </si>
  <si>
    <t>POWIATOWY URZĄD PRACY</t>
  </si>
  <si>
    <t>1.1.1.3</t>
  </si>
  <si>
    <t>POWIATOWE CENTRUM POMOCY RODZINIE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</si>
  <si>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</si>
  <si>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</si>
  <si>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</si>
  <si>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</si>
  <si>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</si>
  <si>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</si>
  <si>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</si>
  <si>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</si>
  <si>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</si>
  <si>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</si>
  <si>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</si>
  <si>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</si>
  <si>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</si>
  <si>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</si>
  <si>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</si>
  <si>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</si>
  <si>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</si>
  <si>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</si>
  <si>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</si>
  <si>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</si>
  <si>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</si>
  <si>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</si>
  <si>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>1.3.2</t>
  </si>
  <si>
    <t>1.3.2.1</t>
  </si>
  <si>
    <t>PRZEDSIĘWZIĘCIA DO WIELOLETNIEJ PROGNOZY FINANSOWEJ POWIATU ŚWIDWIŃSKIEGO NA LATA 2026-2032</t>
  </si>
  <si>
    <t xml:space="preserve">Załącznik Nr 2 do Uchwały </t>
  </si>
  <si>
    <t>1.3.2.2</t>
  </si>
  <si>
    <t xml:space="preserve">CYBERBEZPIECZNY SAMORZĄD </t>
  </si>
  <si>
    <t xml:space="preserve">Voucher zatrudnieniowy dla Powiatu Świdwińskiego  </t>
  </si>
  <si>
    <t xml:space="preserve">Wybierz przyszłość dla Rodziny Plus </t>
  </si>
  <si>
    <t xml:space="preserve">Zwiększenie jakości i dostępności usług publicznych poprzez doposażenie Centrum Nauki Cordis w Świdwinie </t>
  </si>
  <si>
    <t xml:space="preserve">Poprawa jakości i dostępności kształcenia zawodowego w szkołach ponadpodstawowych wraz z doposażeniem pracowni w powiecie świdwińskim  </t>
  </si>
  <si>
    <t xml:space="preserve">Rozbudowa Regionalnej Infrastruktury Informacji Przestrzennej Województwa Zachodniopomorskiego </t>
  </si>
  <si>
    <t xml:space="preserve">"Aktywni 55+" Powiatowy Urząd Pracy w Świdwinie </t>
  </si>
  <si>
    <t xml:space="preserve">Adaptacja terenów zurbanizowanych do zmian klimatu – mała retencja wodna w szpitalu w Połczynie Zdroju  </t>
  </si>
  <si>
    <t xml:space="preserve">Zwiększenie efektywności energetycznej w budynku Poradni Psychologiczno-Pedagogicznej w Świdwinie poprzez termomodernizację i wymianę źródła ciepła                   </t>
  </si>
  <si>
    <t xml:space="preserve">Zwiększenie jakości i dostępności usług publicznych ZSR CKZ w Świdwinie </t>
  </si>
  <si>
    <t xml:space="preserve">Termomodernizacja budynku mieszkalnego przy ulicy Wojska Polskiego 27 w Świdwinie </t>
  </si>
  <si>
    <t xml:space="preserve">Utworzenie terenów zielonych przy Domu Pomocy Społecznej w Modrzewcu </t>
  </si>
  <si>
    <t xml:space="preserve">Program kompleksowego wsparcia dla rodzin "Za życiem" </t>
  </si>
  <si>
    <t xml:space="preserve">Przebudowa ZPO w Połczynie Zdroju na potrzeby Poradni Psychologiczno-Pedagogicznej </t>
  </si>
  <si>
    <t>STAROSTWO POWIATOWE                      W ŚWIDWINIE</t>
  </si>
  <si>
    <t>PORADNIA PSYCHOLOGICZNO - PEDAGOGICZNA                W POŁCZYNIE-ZDROJU</t>
  </si>
  <si>
    <t>Budowa hali magazynowej o konstrukcji stalowej wraz z niezbędnymi urządzeniami - OLOC</t>
  </si>
  <si>
    <t>Rady Powiatu Świdwińskiego</t>
  </si>
  <si>
    <t>Nr XXIV/123/26 z dnia 25.06.2026r.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</si>
</sst>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C7" sqref="C7"/>
    </sheetView>
  </sheetViews>
  <sheetFormatPr defaultRowHeight="14.4" x14ac:dyDescent="0.3"/>
  <cols>
    <col min="1" max="1" width="7.109375" customWidth="1"/>
    <col min="2" max="2" width="54" customWidth="1"/>
    <col min="3" max="3" width="20.109375" style="6" customWidth="1"/>
    <col min="4" max="4" width="8.109375" customWidth="1"/>
    <col min="5" max="5" width="8.44140625" customWidth="1"/>
    <col min="6" max="6" width="14.33203125" customWidth="1"/>
    <col min="7" max="7" width="14.33203125" style="7" customWidth="1"/>
    <col min="8" max="11" width="14.33203125" customWidth="1"/>
  </cols>
  <sheetData>
    <row r="1" spans="1:11" x14ac:dyDescent="0.3">
      <c r="A1" s="1"/>
      <c r="B1" s="1"/>
      <c r="C1" s="5"/>
      <c r="D1" s="1"/>
      <c r="E1" s="1"/>
      <c r="F1" s="1"/>
      <c r="G1" s="1"/>
      <c r="H1" s="1"/>
      <c r="I1" s="1"/>
      <c r="K1" s="2" t="s">
        <v>50</v>
      </c>
    </row>
    <row r="2" spans="1:11" x14ac:dyDescent="0.3">
      <c r="A2" s="1"/>
      <c r="B2" s="1"/>
      <c r="C2" s="5"/>
      <c r="D2" s="1"/>
      <c r="E2" s="1"/>
      <c r="F2" s="1"/>
      <c r="G2" s="1"/>
      <c r="H2" s="1"/>
      <c r="I2" s="1"/>
      <c r="K2" s="2" t="s">
        <v>69</v>
      </c>
    </row>
    <row r="3" spans="1:11" ht="15.6" x14ac:dyDescent="0.3">
      <c r="A3" s="1"/>
      <c r="B3" s="1"/>
      <c r="C3" s="5"/>
      <c r="D3" s="3" t="s">
        <v>49</v>
      </c>
      <c r="E3" s="1"/>
      <c r="F3" s="1"/>
      <c r="G3" s="1"/>
      <c r="H3" s="1"/>
      <c r="I3" s="1"/>
      <c r="K3" s="2" t="s">
        <v>70</v>
      </c>
    </row>
    <row r="4" spans="1:11" s="4" customFormat="1" ht="20.100000000000001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</row>
    <row r="5" spans="1:11" ht="35.1" customHeight="1" x14ac:dyDescent="0.3">
      <c r="A5" s="15" t="s">
        <v>11</v>
      </c>
      <c r="B5" s="16" t="s">
        <v>12</v>
      </c>
      <c r="C5" s="14"/>
      <c r="D5" s="9"/>
      <c r="E5" s="9"/>
      <c r="F5" s="10">
        <f ca="1">F6+F7</f>
        <v>35774664</v>
      </c>
      <c r="G5" s="10">
        <f>IF(ISNUMBER(VLOOKUP("1.1",A5:K36,7,FALSE)),ROUND(VLOOKUP("1.1",A5:K36,7,FALSE),4),0) + IF(ISNUMBER(VLOOKUP("1.2",A5:K36,7,FALSE)),ROUND(VLOOKUP("1.2",A5:K36,7,FALSE),4),0) + IF(ISNUMBER(VLOOKUP("1.3",A5:K36,7,FALSE)),ROUND(VLOOKUP("1.3",A5:K36,7,FALSE),4),0)</f>
        <v>19907986.43</v>
      </c>
      <c r="H5" s="10">
        <f>IF(ISNUMBER(VLOOKUP("1.1",A5:K36,8,FALSE)),ROUND(VLOOKUP("1.1",A5:K36,8,FALSE),4),0) + IF(ISNUMBER(VLOOKUP("1.2",A5:K36,8,FALSE)),ROUND(VLOOKUP("1.2",A5:K36,8,FALSE),4),0) + IF(ISNUMBER(VLOOKUP("1.3",A5:K36,8,FALSE)),ROUND(VLOOKUP("1.3",A5:K36,8,FALSE),4),0)</f>
        <v>9266653.6799999997</v>
      </c>
      <c r="I5" s="10">
        <f>IF(ISNUMBER(VLOOKUP("1.1",A5:K36,9,FALSE)),ROUND(VLOOKUP("1.1",A5:K36,9,FALSE),4),0) + IF(ISNUMBER(VLOOKUP("1.2",A5:K36,9,FALSE)),ROUND(VLOOKUP("1.2",A5:K36,9,FALSE),4),0) + IF(ISNUMBER(VLOOKUP("1.3",A5:K36,9,FALSE)),ROUND(VLOOKUP("1.3",A5:K36,9,FALSE),4),0)</f>
        <v>965025</v>
      </c>
      <c r="J5" s="10">
        <f>IF(ISNUMBER(VLOOKUP("1.1",A5:K36,10,FALSE)),ROUND(VLOOKUP("1.1",A5:K36,10,FALSE),4),0) + IF(ISNUMBER(VLOOKUP("1.2",A5:K36,10,FALSE)),ROUND(VLOOKUP("1.2",A5:K36,10,FALSE),4),0) + IF(ISNUMBER(VLOOKUP("1.3",A5:K36,10,FALSE)),ROUND(VLOOKUP("1.3",A5:K36,10,FALSE),4),0)</f>
        <v>266607</v>
      </c>
      <c r="K5" s="10">
        <f>IF(ISNUMBER(VLOOKUP("1.1",A5:K36,11,FALSE)),ROUND(VLOOKUP("1.1",A5:K36,11,FALSE),4),0) + IF(ISNUMBER(VLOOKUP("1.2",A5:K36,11,FALSE)),ROUND(VLOOKUP("1.2",A5:K36,11,FALSE),4),0) + IF(ISNUMBER(VLOOKUP("1.3",A5:K36,11,FALSE)),ROUND(VLOOKUP("1.3",A5:K36,11,FALSE),4),0)</f>
        <v>30406272.109999999</v>
      </c>
    </row>
    <row r="6" spans="1:11" ht="35.1" customHeight="1" x14ac:dyDescent="0.3">
      <c r="A6" s="15" t="s">
        <v>13</v>
      </c>
      <c r="B6" s="16" t="s">
        <v>14</v>
      </c>
      <c r="C6" s="14"/>
      <c r="D6" s="9"/>
      <c r="E6" s="9"/>
      <c r="F6" s="10">
        <f>F9+F31</f>
        <v>16401314</v>
      </c>
      <c r="G6" s="10">
        <f>IF(ISNUMBER(VLOOKUP("1.1.1",A5:K36,7,FALSE)),ROUND(VLOOKUP("1.1.1",A5:K36,7,FALSE),4),0) + IF(ISNUMBER(VLOOKUP("1.2.1",A5:K36,7,FALSE)),ROUND(VLOOKUP("1.2.1",A5:K36,7,FALSE),4),0) + IF(ISNUMBER(VLOOKUP("1.3.1",A5:K36,7,FALSE)),ROUND(VLOOKUP("1.3.1",A5:K36,7,FALSE),4),0)</f>
        <v>7500922.4299999997</v>
      </c>
      <c r="H6" s="10">
        <f>IF(ISNUMBER(VLOOKUP("1.1.1",A5:K36,8,FALSE)),ROUND(VLOOKUP("1.1.1",A5:K36,8,FALSE),4),0) + IF(ISNUMBER(VLOOKUP("1.2.1",A5:K36,8,FALSE)),ROUND(VLOOKUP("1.2.1",A5:K36,8,FALSE),4),0) + IF(ISNUMBER(VLOOKUP("1.3.1",A5:K36,8,FALSE)),ROUND(VLOOKUP("1.3.1",A5:K36,8,FALSE),4),0)</f>
        <v>2840115.68</v>
      </c>
      <c r="I6" s="10">
        <f>IF(ISNUMBER(VLOOKUP("1.1.1",A5:K36,9,FALSE)),ROUND(VLOOKUP("1.1.1",A5:K36,9,FALSE),4),0) + IF(ISNUMBER(VLOOKUP("1.2.1",A5:K36,9,FALSE)),ROUND(VLOOKUP("1.2.1",A5:K36,9,FALSE),4),0) + IF(ISNUMBER(VLOOKUP("1.3.1",A5:K36,9,FALSE)),ROUND(VLOOKUP("1.3.1",A5:K36,9,FALSE),4),0)</f>
        <v>965025</v>
      </c>
      <c r="J6" s="10">
        <f>IF(ISNUMBER(VLOOKUP("1.1.1",A5:K36,10,FALSE)),ROUND(VLOOKUP("1.1.1",A5:K36,10,FALSE),4),0) + IF(ISNUMBER(VLOOKUP("1.2.1",A5:K36,10,FALSE)),ROUND(VLOOKUP("1.2.1",A5:K36,10,FALSE),4),0) + IF(ISNUMBER(VLOOKUP("1.3.1",A5:K36,10,FALSE)),ROUND(VLOOKUP("1.3.1",A5:K36,10,FALSE),4),0)</f>
        <v>266607</v>
      </c>
      <c r="K6" s="10">
        <f>IF(ISNUMBER(VLOOKUP("1.1.1",A5:K36,11,FALSE)),ROUND(VLOOKUP("1.1.1",A5:K36,11,FALSE),4),0) + IF(ISNUMBER(VLOOKUP("1.2.1",A5:K36,11,FALSE)),ROUND(VLOOKUP("1.2.1",A5:K36,11,FALSE),4),0) + IF(ISNUMBER(VLOOKUP("1.3.1",A5:K36,11,FALSE)),ROUND(VLOOKUP("1.3.1",A5:K36,11,FALSE),4),0)</f>
        <v>11572670.109999999</v>
      </c>
    </row>
    <row r="7" spans="1:11" ht="35.1" customHeight="1" x14ac:dyDescent="0.3">
      <c r="A7" s="15" t="s">
        <v>15</v>
      </c>
      <c r="B7" s="16" t="s">
        <v>16</v>
      </c>
      <c r="C7" s="14"/>
      <c r="D7" s="9"/>
      <c r="E7" s="9"/>
      <c r="F7" s="10">
        <f ca="1">F17+F33</f>
        <v>19373350</v>
      </c>
      <c r="G7" s="10">
        <f>IF(ISNUMBER(VLOOKUP("1.1.2",A5:K36,7,FALSE)),ROUND(VLOOKUP("1.1.2",A5:K36,7,FALSE),4),0) + IF(ISNUMBER(VLOOKUP("1.2.2",A5:K36,7,FALSE)),ROUND(VLOOKUP("1.2.2",A5:K36,7,FALSE),4),0) + IF(ISNUMBER(VLOOKUP("1.3.2",A5:K36,7,FALSE)),ROUND(VLOOKUP("1.3.2",A5:K36,7,FALSE),4),0)</f>
        <v>12407064</v>
      </c>
      <c r="H7" s="10">
        <f>IF(ISNUMBER(VLOOKUP("1.1.2",A5:K36,8,FALSE)),ROUND(VLOOKUP("1.1.2",A5:K36,8,FALSE),4),0) + IF(ISNUMBER(VLOOKUP("1.2.2",A5:K36,8,FALSE)),ROUND(VLOOKUP("1.2.2",A5:K36,8,FALSE),4),0) + IF(ISNUMBER(VLOOKUP("1.3.2",A5:K36,8,FALSE)),ROUND(VLOOKUP("1.3.2",A5:K36,8,FALSE),4),0)</f>
        <v>6426538</v>
      </c>
      <c r="I7" s="10">
        <f>IF(ISNUMBER(VLOOKUP("1.1.2",A5:K36,9,FALSE)),ROUND(VLOOKUP("1.1.2",A5:K36,9,FALSE),4),0) + IF(ISNUMBER(VLOOKUP("1.2.2",A5:K36,9,FALSE)),ROUND(VLOOKUP("1.2.2",A5:K36,9,FALSE),4),0) + IF(ISNUMBER(VLOOKUP("1.3.2",A5:K36,9,FALSE)),ROUND(VLOOKUP("1.3.2",A5:K36,9,FALSE),4),0)</f>
        <v>0</v>
      </c>
      <c r="J7" s="10">
        <f>IF(ISNUMBER(VLOOKUP("1.1.2",A5:K36,10,FALSE)),ROUND(VLOOKUP("1.1.2",A5:K36,10,FALSE),4),0) + IF(ISNUMBER(VLOOKUP("1.2.2",A5:K36,10,FALSE)),ROUND(VLOOKUP("1.2.2",A5:K36,10,FALSE),4),0) + IF(ISNUMBER(VLOOKUP("1.3.2",A5:K36,10,FALSE)),ROUND(VLOOKUP("1.3.2",A5:K36,10,FALSE),4),0)</f>
        <v>0</v>
      </c>
      <c r="K7" s="10">
        <f>IF(ISNUMBER(VLOOKUP("1.1.2",A5:K36,11,FALSE)),ROUND(VLOOKUP("1.1.2",A5:K36,11,FALSE),4),0) + IF(ISNUMBER(VLOOKUP("1.2.2",A5:K36,11,FALSE)),ROUND(VLOOKUP("1.2.2",A5:K36,11,FALSE),4),0) + IF(ISNUMBER(VLOOKUP("1.3.2",A5:K36,11,FALSE)),ROUND(VLOOKUP("1.3.2",A5:K36,11,FALSE),4),0)</f>
        <v>18833602</v>
      </c>
    </row>
    <row r="8" spans="1:11" ht="50.25" customHeight="1" x14ac:dyDescent="0.3">
      <c r="A8" s="15" t="s">
        <v>17</v>
      </c>
      <c r="B8" s="16" t="s">
        <v>18</v>
      </c>
      <c r="C8" s="14"/>
      <c r="D8" s="9"/>
      <c r="E8" s="9"/>
      <c r="F8" s="10">
        <f ca="1">IF(ISNUMBER(VLOOKUP("1.1.1",A5:K36,6,FALSE)),ROUND(VLOOKUP("1.1.1",A5:K36,6,FALSE),4),0) + IF(ISNUMBER(VLOOKUP("1.1.2",A5:K36,6,FALSE)),ROUND(VLOOKUP("1.1.2",A5:K36,6,FALSE),4),0)</f>
        <v>31030906</v>
      </c>
      <c r="G8" s="10">
        <f>IF(ISNUMBER(VLOOKUP("1.1.1",A5:K36,7,FALSE)),ROUND(VLOOKUP("1.1.1",A5:K36,7,FALSE),4),0) + IF(ISNUMBER(VLOOKUP("1.1.2",A5:K36,7,FALSE)),ROUND(VLOOKUP("1.1.2",A5:K36,7,FALSE),4),0)</f>
        <v>17631194.43</v>
      </c>
      <c r="H8" s="10">
        <f>IF(ISNUMBER(VLOOKUP("1.1.1",A5:K36,8,FALSE)),ROUND(VLOOKUP("1.1.1",A5:K36,8,FALSE),4),0) + IF(ISNUMBER(VLOOKUP("1.1.2",A5:K36,8,FALSE)),ROUND(VLOOKUP("1.1.2",A5:K36,8,FALSE),4),0)</f>
        <v>7478405.6799999997</v>
      </c>
      <c r="I8" s="10">
        <f>IF(ISNUMBER(VLOOKUP("1.1.1",A5:K36,9,FALSE)),ROUND(VLOOKUP("1.1.1",A5:K36,9,FALSE),4),0) + IF(ISNUMBER(VLOOKUP("1.1.2",A5:K36,9,FALSE)),ROUND(VLOOKUP("1.1.2",A5:K36,9,FALSE),4),0)</f>
        <v>965025</v>
      </c>
      <c r="J8" s="10">
        <f>IF(ISNUMBER(VLOOKUP("1.1.1",A5:K36,10,FALSE)),ROUND(VLOOKUP("1.1.1",A5:K36,10,FALSE),4),0) + IF(ISNUMBER(VLOOKUP("1.1.2",A5:K36,10,FALSE)),ROUND(VLOOKUP("1.1.2",A5:K36,10,FALSE),4),0)</f>
        <v>266607</v>
      </c>
      <c r="K8" s="10">
        <f>IF(ISNUMBER(VLOOKUP("1.1.1",A5:K36,11,FALSE)),ROUND(VLOOKUP("1.1.1",A5:K36,11,FALSE),4),0) + IF(ISNUMBER(VLOOKUP("1.1.2",A5:K36,11,FALSE)),ROUND(VLOOKUP("1.1.2",A5:K36,11,FALSE),4),0)</f>
        <v>26341232.109999999</v>
      </c>
    </row>
    <row r="9" spans="1:11" ht="35.1" customHeight="1" x14ac:dyDescent="0.3">
      <c r="A9" s="15" t="s">
        <v>19</v>
      </c>
      <c r="B9" s="16" t="s">
        <v>14</v>
      </c>
      <c r="C9" s="14"/>
      <c r="D9" s="9"/>
      <c r="E9" s="9"/>
      <c r="F9" s="10">
        <f>SUMIF(A10:A36, "1.1.1.*", F10:F36)</f>
        <v>15603176</v>
      </c>
      <c r="G9" s="10">
        <f>SUMIF(A10:A36, "1.1.1.*", G10:G36)</f>
        <v>7311502.4299999997</v>
      </c>
      <c r="H9" s="10">
        <f>SUMIF(A10:A36, "1.1.1.*", H10:H36)</f>
        <v>2840115.68</v>
      </c>
      <c r="I9" s="10">
        <f>SUMIF(A10:A36, "1.1.1.*", I10:I36)</f>
        <v>965025</v>
      </c>
      <c r="J9" s="10">
        <f>SUMIF(A10:A36, "1.1.1.*", J10:J36)</f>
        <v>266607</v>
      </c>
      <c r="K9" s="10">
        <f>SUMIF(A10:A36, "1.1.1.*", K10:K36)</f>
        <v>11383250.109999999</v>
      </c>
    </row>
    <row r="10" spans="1:11" ht="35.1" customHeight="1" x14ac:dyDescent="0.3">
      <c r="A10" s="17" t="s">
        <v>20</v>
      </c>
      <c r="B10" s="18" t="s">
        <v>52</v>
      </c>
      <c r="C10" s="19" t="s">
        <v>66</v>
      </c>
      <c r="D10" s="11">
        <v>2024</v>
      </c>
      <c r="E10" s="11">
        <v>2026</v>
      </c>
      <c r="F10" s="12">
        <v>262120</v>
      </c>
      <c r="G10" s="12">
        <f>25830+1850+1073</f>
        <v>28753</v>
      </c>
      <c r="H10" s="13">
        <v>0</v>
      </c>
      <c r="I10" s="13">
        <v>0</v>
      </c>
      <c r="J10" s="13">
        <v>0</v>
      </c>
      <c r="K10" s="12">
        <f>25830+1850+1073</f>
        <v>28753</v>
      </c>
    </row>
    <row r="11" spans="1:11" ht="35.1" customHeight="1" x14ac:dyDescent="0.3">
      <c r="A11" s="17" t="s">
        <v>21</v>
      </c>
      <c r="B11" s="18" t="s">
        <v>53</v>
      </c>
      <c r="C11" s="19" t="s">
        <v>22</v>
      </c>
      <c r="D11" s="11">
        <v>2024</v>
      </c>
      <c r="E11" s="11">
        <v>2026</v>
      </c>
      <c r="F11" s="12">
        <v>3540510</v>
      </c>
      <c r="G11" s="12">
        <f>398876.63+18685.48</f>
        <v>417562.11</v>
      </c>
      <c r="H11" s="13">
        <v>0</v>
      </c>
      <c r="I11" s="13">
        <v>0</v>
      </c>
      <c r="J11" s="13">
        <v>0</v>
      </c>
      <c r="K11" s="12">
        <f>G11</f>
        <v>417562.11</v>
      </c>
    </row>
    <row r="12" spans="1:11" ht="35.1" customHeight="1" x14ac:dyDescent="0.3">
      <c r="A12" s="17" t="s">
        <v>23</v>
      </c>
      <c r="B12" s="18" t="s">
        <v>54</v>
      </c>
      <c r="C12" s="19" t="s">
        <v>24</v>
      </c>
      <c r="D12" s="11">
        <v>2024</v>
      </c>
      <c r="E12" s="11">
        <v>2027</v>
      </c>
      <c r="F12" s="12">
        <v>1289662</v>
      </c>
      <c r="G12" s="12">
        <f>438416+158381</f>
        <v>596797</v>
      </c>
      <c r="H12" s="12">
        <v>201254</v>
      </c>
      <c r="I12" s="13">
        <v>0</v>
      </c>
      <c r="J12" s="13">
        <v>0</v>
      </c>
      <c r="K12" s="12">
        <f>G12+H12</f>
        <v>798051</v>
      </c>
    </row>
    <row r="13" spans="1:11" ht="35.1" customHeight="1" x14ac:dyDescent="0.3">
      <c r="A13" s="17" t="s">
        <v>25</v>
      </c>
      <c r="B13" s="18" t="s">
        <v>55</v>
      </c>
      <c r="C13" s="19" t="s">
        <v>66</v>
      </c>
      <c r="D13" s="11">
        <v>2025</v>
      </c>
      <c r="E13" s="11">
        <v>2029</v>
      </c>
      <c r="F13" s="12">
        <v>2018982</v>
      </c>
      <c r="G13" s="12">
        <v>600000</v>
      </c>
      <c r="H13" s="12">
        <v>600000</v>
      </c>
      <c r="I13" s="12">
        <v>600000</v>
      </c>
      <c r="J13" s="12">
        <v>218982</v>
      </c>
      <c r="K13" s="12">
        <v>2018982</v>
      </c>
    </row>
    <row r="14" spans="1:11" ht="35.1" customHeight="1" x14ac:dyDescent="0.3">
      <c r="A14" s="17" t="s">
        <v>26</v>
      </c>
      <c r="B14" s="18" t="s">
        <v>56</v>
      </c>
      <c r="C14" s="19" t="s">
        <v>66</v>
      </c>
      <c r="D14" s="11">
        <v>2025</v>
      </c>
      <c r="E14" s="11">
        <v>2028</v>
      </c>
      <c r="F14" s="12">
        <f>4144124+3785268</f>
        <v>7929392</v>
      </c>
      <c r="G14" s="12">
        <f>2947842+2470000</f>
        <v>5417842</v>
      </c>
      <c r="H14" s="12">
        <f>787141+1082634</f>
        <v>1869775</v>
      </c>
      <c r="I14" s="12">
        <f>37141+232634</f>
        <v>269775</v>
      </c>
      <c r="J14" s="13">
        <v>0</v>
      </c>
      <c r="K14" s="12">
        <f>3772124+3785268</f>
        <v>7557392</v>
      </c>
    </row>
    <row r="15" spans="1:11" ht="35.1" customHeight="1" x14ac:dyDescent="0.3">
      <c r="A15" s="17" t="s">
        <v>27</v>
      </c>
      <c r="B15" s="18" t="s">
        <v>57</v>
      </c>
      <c r="C15" s="19" t="s">
        <v>66</v>
      </c>
      <c r="D15" s="11">
        <v>2025</v>
      </c>
      <c r="E15" s="11">
        <v>2029</v>
      </c>
      <c r="F15" s="12">
        <v>401000</v>
      </c>
      <c r="G15" s="12">
        <v>142875</v>
      </c>
      <c r="H15" s="12">
        <v>115250</v>
      </c>
      <c r="I15" s="12">
        <v>95250</v>
      </c>
      <c r="J15" s="12">
        <v>47625</v>
      </c>
      <c r="K15" s="12">
        <v>401000</v>
      </c>
    </row>
    <row r="16" spans="1:11" ht="35.1" customHeight="1" x14ac:dyDescent="0.3">
      <c r="A16" s="17" t="s">
        <v>28</v>
      </c>
      <c r="B16" s="18" t="s">
        <v>58</v>
      </c>
      <c r="C16" s="19" t="s">
        <v>22</v>
      </c>
      <c r="D16" s="11">
        <v>2026</v>
      </c>
      <c r="E16" s="11">
        <v>2027</v>
      </c>
      <c r="F16" s="12">
        <v>161510</v>
      </c>
      <c r="G16" s="12">
        <v>107673.32</v>
      </c>
      <c r="H16" s="12">
        <v>53836.68</v>
      </c>
      <c r="I16" s="13">
        <v>0</v>
      </c>
      <c r="J16" s="13">
        <v>0</v>
      </c>
      <c r="K16" s="12">
        <v>161510</v>
      </c>
    </row>
    <row r="17" spans="1:11" ht="35.1" customHeight="1" x14ac:dyDescent="0.3">
      <c r="A17" s="15" t="s">
        <v>29</v>
      </c>
      <c r="B17" s="16" t="s">
        <v>16</v>
      </c>
      <c r="C17" s="20"/>
      <c r="D17" s="9"/>
      <c r="E17" s="9"/>
      <c r="F17" s="10">
        <f ca="1">SUMIF(A18:A36, "1.1.2.*", F18:F26)</f>
        <v>15427730</v>
      </c>
      <c r="G17" s="10">
        <f>SUMIF(A18:A36, "1.1.2.*", G18:G36)</f>
        <v>10319692</v>
      </c>
      <c r="H17" s="10">
        <f>SUMIF(A18:A36, "1.1.2.*", H18:H36)</f>
        <v>4638290</v>
      </c>
      <c r="I17" s="10">
        <f>SUMIF(A18:A36, "1.1.2.*", I18:I36)</f>
        <v>0</v>
      </c>
      <c r="J17" s="10">
        <f>SUMIF(A18:A36, "1.1.2.*", J18:J36)</f>
        <v>0</v>
      </c>
      <c r="K17" s="10">
        <f>SUMIF(A18:A36, "1.1.2.*", K18:K36)</f>
        <v>14957982</v>
      </c>
    </row>
    <row r="18" spans="1:11" ht="35.1" customHeight="1" x14ac:dyDescent="0.3">
      <c r="A18" s="17" t="s">
        <v>30</v>
      </c>
      <c r="B18" s="18" t="s">
        <v>59</v>
      </c>
      <c r="C18" s="19" t="s">
        <v>66</v>
      </c>
      <c r="D18" s="11">
        <v>2025</v>
      </c>
      <c r="E18" s="11">
        <v>2027</v>
      </c>
      <c r="F18" s="12">
        <v>4098910</v>
      </c>
      <c r="G18" s="12">
        <v>3816764</v>
      </c>
      <c r="H18" s="12">
        <v>0</v>
      </c>
      <c r="I18" s="13">
        <v>0</v>
      </c>
      <c r="J18" s="13">
        <v>0</v>
      </c>
      <c r="K18" s="12">
        <v>3816764</v>
      </c>
    </row>
    <row r="19" spans="1:11" ht="39.75" customHeight="1" x14ac:dyDescent="0.3">
      <c r="A19" s="17" t="s">
        <v>31</v>
      </c>
      <c r="B19" s="18" t="s">
        <v>60</v>
      </c>
      <c r="C19" s="19" t="s">
        <v>66</v>
      </c>
      <c r="D19" s="11">
        <v>2025</v>
      </c>
      <c r="E19" s="11">
        <v>2027</v>
      </c>
      <c r="F19" s="12">
        <v>2817900</v>
      </c>
      <c r="G19" s="12">
        <v>1381000</v>
      </c>
      <c r="H19" s="12">
        <v>1400000</v>
      </c>
      <c r="I19" s="13">
        <v>0</v>
      </c>
      <c r="J19" s="13">
        <v>0</v>
      </c>
      <c r="K19" s="12">
        <v>2781000</v>
      </c>
    </row>
    <row r="20" spans="1:11" ht="35.1" customHeight="1" x14ac:dyDescent="0.3">
      <c r="A20" s="17" t="s">
        <v>32</v>
      </c>
      <c r="B20" s="18" t="s">
        <v>61</v>
      </c>
      <c r="C20" s="19" t="s">
        <v>66</v>
      </c>
      <c r="D20" s="11">
        <v>2025</v>
      </c>
      <c r="E20" s="11">
        <v>2027</v>
      </c>
      <c r="F20" s="12">
        <v>5600001</v>
      </c>
      <c r="G20" s="12">
        <v>2750000</v>
      </c>
      <c r="H20" s="12">
        <v>2794650</v>
      </c>
      <c r="I20" s="13">
        <v>0</v>
      </c>
      <c r="J20" s="13">
        <v>0</v>
      </c>
      <c r="K20" s="12">
        <v>5544650</v>
      </c>
    </row>
    <row r="21" spans="1:11" ht="35.1" customHeight="1" x14ac:dyDescent="0.3">
      <c r="A21" s="17" t="s">
        <v>33</v>
      </c>
      <c r="B21" s="18" t="s">
        <v>57</v>
      </c>
      <c r="C21" s="19" t="s">
        <v>66</v>
      </c>
      <c r="D21" s="11">
        <v>2025</v>
      </c>
      <c r="E21" s="11">
        <v>2029</v>
      </c>
      <c r="F21" s="12">
        <v>269370</v>
      </c>
      <c r="G21" s="12">
        <v>269370</v>
      </c>
      <c r="H21" s="12">
        <v>0</v>
      </c>
      <c r="I21" s="12">
        <v>0</v>
      </c>
      <c r="J21" s="12">
        <v>0</v>
      </c>
      <c r="K21" s="12">
        <v>269370</v>
      </c>
    </row>
    <row r="22" spans="1:11" ht="35.1" customHeight="1" x14ac:dyDescent="0.3">
      <c r="A22" s="17" t="s">
        <v>34</v>
      </c>
      <c r="B22" s="18" t="s">
        <v>54</v>
      </c>
      <c r="C22" s="19" t="s">
        <v>24</v>
      </c>
      <c r="D22" s="11">
        <v>2024</v>
      </c>
      <c r="E22" s="11">
        <v>2027</v>
      </c>
      <c r="F22" s="12">
        <v>40000</v>
      </c>
      <c r="G22" s="12">
        <v>0</v>
      </c>
      <c r="H22" s="12">
        <v>0</v>
      </c>
      <c r="I22" s="13">
        <v>0</v>
      </c>
      <c r="J22" s="13">
        <v>0</v>
      </c>
      <c r="K22" s="12">
        <v>0</v>
      </c>
    </row>
    <row r="23" spans="1:11" ht="35.1" customHeight="1" x14ac:dyDescent="0.3">
      <c r="A23" s="17" t="s">
        <v>35</v>
      </c>
      <c r="B23" s="18" t="s">
        <v>62</v>
      </c>
      <c r="C23" s="19" t="s">
        <v>66</v>
      </c>
      <c r="D23" s="11">
        <v>2025</v>
      </c>
      <c r="E23" s="11">
        <v>2026</v>
      </c>
      <c r="F23" s="12">
        <v>750000</v>
      </c>
      <c r="G23" s="12">
        <v>725400</v>
      </c>
      <c r="H23" s="13">
        <v>0</v>
      </c>
      <c r="I23" s="13">
        <v>0</v>
      </c>
      <c r="J23" s="13">
        <v>0</v>
      </c>
      <c r="K23" s="12">
        <v>725400</v>
      </c>
    </row>
    <row r="24" spans="1:11" ht="35.1" customHeight="1" x14ac:dyDescent="0.3">
      <c r="A24" s="17" t="s">
        <v>36</v>
      </c>
      <c r="B24" s="18" t="s">
        <v>55</v>
      </c>
      <c r="C24" s="19" t="s">
        <v>66</v>
      </c>
      <c r="D24" s="11">
        <v>2025</v>
      </c>
      <c r="E24" s="11">
        <v>2029</v>
      </c>
      <c r="F24" s="12">
        <v>280751</v>
      </c>
      <c r="G24" s="12">
        <v>250000</v>
      </c>
      <c r="H24" s="12">
        <v>0</v>
      </c>
      <c r="I24" s="12">
        <v>0</v>
      </c>
      <c r="J24" s="12">
        <v>0</v>
      </c>
      <c r="K24" s="12">
        <v>250000</v>
      </c>
    </row>
    <row r="25" spans="1:11" ht="41.25" customHeight="1" x14ac:dyDescent="0.3">
      <c r="A25" s="17" t="s">
        <v>37</v>
      </c>
      <c r="B25" s="18" t="s">
        <v>56</v>
      </c>
      <c r="C25" s="19" t="s">
        <v>66</v>
      </c>
      <c r="D25" s="11">
        <v>2025</v>
      </c>
      <c r="E25" s="11">
        <v>2028</v>
      </c>
      <c r="F25" s="12">
        <v>477158</v>
      </c>
      <c r="G25" s="12">
        <v>477158</v>
      </c>
      <c r="H25" s="12">
        <v>0</v>
      </c>
      <c r="I25" s="12">
        <v>0</v>
      </c>
      <c r="J25" s="13">
        <v>0</v>
      </c>
      <c r="K25" s="12">
        <v>477158</v>
      </c>
    </row>
    <row r="26" spans="1:11" ht="35.1" customHeight="1" x14ac:dyDescent="0.3">
      <c r="A26" s="17" t="s">
        <v>38</v>
      </c>
      <c r="B26" s="18" t="s">
        <v>63</v>
      </c>
      <c r="C26" s="19" t="s">
        <v>66</v>
      </c>
      <c r="D26" s="11">
        <v>2026</v>
      </c>
      <c r="E26" s="11">
        <v>2027</v>
      </c>
      <c r="F26" s="12">
        <v>1093640</v>
      </c>
      <c r="G26" s="12">
        <v>650000</v>
      </c>
      <c r="H26" s="12">
        <v>443640</v>
      </c>
      <c r="I26" s="13">
        <v>0</v>
      </c>
      <c r="J26" s="13">
        <v>0</v>
      </c>
      <c r="K26" s="12">
        <v>1093640</v>
      </c>
    </row>
    <row r="27" spans="1:11" ht="35.1" customHeight="1" x14ac:dyDescent="0.3">
      <c r="A27" s="15" t="s">
        <v>39</v>
      </c>
      <c r="B27" s="16" t="s">
        <v>40</v>
      </c>
      <c r="C27" s="20"/>
      <c r="D27" s="9"/>
      <c r="E27" s="9"/>
      <c r="F27" s="10">
        <f>IF(ISNUMBER(VLOOKUP("1.2.1",A5:K36,6,FALSE)),ROUND(VLOOKUP("1.2.1",A5:K36,6,FALSE),4),0) + IF(ISNUMBER(VLOOKUP("1.2.2",A5:K36,6,FALSE)),ROUND(VLOOKUP("1.2.2",A5:K36,6,FALSE),4),0)</f>
        <v>0</v>
      </c>
      <c r="G27" s="10">
        <f>IF(ISNUMBER(VLOOKUP("1.2.1",A5:K36,7,FALSE)),ROUND(VLOOKUP("1.2.1",A5:K36,7,FALSE),4),0) + IF(ISNUMBER(VLOOKUP("1.2.2",A5:K36,7,FALSE)),ROUND(VLOOKUP("1.2.2",A5:K36,7,FALSE),4),0)</f>
        <v>0</v>
      </c>
      <c r="H27" s="10">
        <f>IF(ISNUMBER(VLOOKUP("1.2.1",A5:K36,8,FALSE)),ROUND(VLOOKUP("1.2.1",A5:K36,8,FALSE),4),0) + IF(ISNUMBER(VLOOKUP("1.2.2",A5:K36,8,FALSE)),ROUND(VLOOKUP("1.2.2",A5:K36,8,FALSE),4),0)</f>
        <v>0</v>
      </c>
      <c r="I27" s="10">
        <f>IF(ISNUMBER(VLOOKUP("1.2.1",A5:K36,9,FALSE)),ROUND(VLOOKUP("1.2.1",A5:K36,9,FALSE),4),0) + IF(ISNUMBER(VLOOKUP("1.2.2",A5:K36,9,FALSE)),ROUND(VLOOKUP("1.2.2",A5:K36,9,FALSE),4),0)</f>
        <v>0</v>
      </c>
      <c r="J27" s="10">
        <f>IF(ISNUMBER(VLOOKUP("1.2.1",A5:K36,10,FALSE)),ROUND(VLOOKUP("1.2.1",A5:K36,10,FALSE),4),0) + IF(ISNUMBER(VLOOKUP("1.2.2",A5:K36,10,FALSE)),ROUND(VLOOKUP("1.2.2",A5:K36,10,FALSE),4),0)</f>
        <v>0</v>
      </c>
      <c r="K27" s="10">
        <f>IF(ISNUMBER(VLOOKUP("1.2.1",A5:K36,11,FALSE)),ROUND(VLOOKUP("1.2.1",A5:K36,11,FALSE),4),0) + IF(ISNUMBER(VLOOKUP("1.2.2",A5:K36,11,FALSE)),ROUND(VLOOKUP("1.2.2",A5:K36,11,FALSE),4),0)</f>
        <v>0</v>
      </c>
    </row>
    <row r="28" spans="1:11" ht="35.1" customHeight="1" x14ac:dyDescent="0.3">
      <c r="A28" s="15" t="s">
        <v>41</v>
      </c>
      <c r="B28" s="16" t="s">
        <v>14</v>
      </c>
      <c r="C28" s="20"/>
      <c r="D28" s="9"/>
      <c r="E28" s="9"/>
      <c r="F28" s="10">
        <f>SUMIF(A29:A36, "1.2.1.*", F29:F36)</f>
        <v>0</v>
      </c>
      <c r="G28" s="10">
        <f>SUMIF(A29:A36, "1.2.1.*", G29:G36)</f>
        <v>0</v>
      </c>
      <c r="H28" s="10">
        <f>SUMIF(A29:A36, "1.2.1.*", H29:H36)</f>
        <v>0</v>
      </c>
      <c r="I28" s="10">
        <f>SUMIF(A29:A36, "1.2.1.*", I29:I36)</f>
        <v>0</v>
      </c>
      <c r="J28" s="10">
        <f>SUMIF(A29:A36, "1.2.1.*", J29:J36)</f>
        <v>0</v>
      </c>
      <c r="K28" s="10">
        <f>SUMIF(A29:A36, "1.2.1.*", K29:K36)</f>
        <v>0</v>
      </c>
    </row>
    <row r="29" spans="1:11" ht="35.1" customHeight="1" x14ac:dyDescent="0.3">
      <c r="A29" s="15" t="s">
        <v>42</v>
      </c>
      <c r="B29" s="16" t="s">
        <v>16</v>
      </c>
      <c r="C29" s="20"/>
      <c r="D29" s="9"/>
      <c r="E29" s="9"/>
      <c r="F29" s="10">
        <f>SUMIF(A30:A36, "1.2.2.*", F30:F36)</f>
        <v>0</v>
      </c>
      <c r="G29" s="10">
        <f>SUMIF(A30:A36, "1.2.2.*", G30:G36)</f>
        <v>0</v>
      </c>
      <c r="H29" s="10">
        <f>SUMIF(A30:A36, "1.2.2.*", H30:H36)</f>
        <v>0</v>
      </c>
      <c r="I29" s="10">
        <f>SUMIF(A30:A36, "1.2.2.*", I30:I36)</f>
        <v>0</v>
      </c>
      <c r="J29" s="10">
        <f>SUMIF(A30:A36, "1.2.2.*", J30:J36)</f>
        <v>0</v>
      </c>
      <c r="K29" s="10">
        <f>SUMIF(A30:A36, "1.2.2.*", K30:K36)</f>
        <v>0</v>
      </c>
    </row>
    <row r="30" spans="1:11" ht="35.1" customHeight="1" x14ac:dyDescent="0.3">
      <c r="A30" s="15" t="s">
        <v>43</v>
      </c>
      <c r="B30" s="16" t="s">
        <v>44</v>
      </c>
      <c r="C30" s="20"/>
      <c r="D30" s="9"/>
      <c r="E30" s="9"/>
      <c r="F30" s="10">
        <f>IF(ISNUMBER(VLOOKUP("1.3.1",A5:K36,6,FALSE)),ROUND(VLOOKUP("1.3.1",A5:K36,6,FALSE),4),0) + IF(ISNUMBER(VLOOKUP("1.3.2",A5:K36,6,FALSE)),ROUND(VLOOKUP("1.3.2",A5:K36,6,FALSE),4),0)</f>
        <v>4743758</v>
      </c>
      <c r="G30" s="10">
        <f>IF(ISNUMBER(VLOOKUP("1.3.1",A5:K36,7,FALSE)),ROUND(VLOOKUP("1.3.1",A5:K36,7,FALSE),4),0) + IF(ISNUMBER(VLOOKUP("1.3.2",A5:K36,7,FALSE)),ROUND(VLOOKUP("1.3.2",A5:K36,7,FALSE),4),0)</f>
        <v>2276792</v>
      </c>
      <c r="H30" s="10">
        <f>IF(ISNUMBER(VLOOKUP("1.3.1",A5:K36,8,FALSE)),ROUND(VLOOKUP("1.3.1",A5:K36,8,FALSE),4),0) + IF(ISNUMBER(VLOOKUP("1.3.2",A5:K36,8,FALSE)),ROUND(VLOOKUP("1.3.2",A5:K36,8,FALSE),4),0)</f>
        <v>1788248</v>
      </c>
      <c r="I30" s="10">
        <f>IF(ISNUMBER(VLOOKUP("1.3.1",A5:K36,9,FALSE)),ROUND(VLOOKUP("1.3.1",A5:K36,9,FALSE),4),0) + IF(ISNUMBER(VLOOKUP("1.3.2",A5:K36,9,FALSE)),ROUND(VLOOKUP("1.3.2",A5:K36,9,FALSE),4),0)</f>
        <v>0</v>
      </c>
      <c r="J30" s="10">
        <f>IF(ISNUMBER(VLOOKUP("1.3.1",A5:K36,10,FALSE)),ROUND(VLOOKUP("1.3.1",A5:K36,10,FALSE),4),0) + IF(ISNUMBER(VLOOKUP("1.3.2",A5:K36,10,FALSE)),ROUND(VLOOKUP("1.3.2",A5:K36,10,FALSE),4),0)</f>
        <v>0</v>
      </c>
      <c r="K30" s="10">
        <f>IF(ISNUMBER(VLOOKUP("1.3.1",A5:K36,11,FALSE)),ROUND(VLOOKUP("1.3.1",A5:K36,11,FALSE),4),0) + IF(ISNUMBER(VLOOKUP("1.3.2",A5:K36,11,FALSE)),ROUND(VLOOKUP("1.3.2",A5:K36,11,FALSE),4),0)</f>
        <v>4065040</v>
      </c>
    </row>
    <row r="31" spans="1:11" ht="35.1" customHeight="1" x14ac:dyDescent="0.3">
      <c r="A31" s="15" t="s">
        <v>45</v>
      </c>
      <c r="B31" s="16" t="s">
        <v>14</v>
      </c>
      <c r="C31" s="20"/>
      <c r="D31" s="9"/>
      <c r="E31" s="9"/>
      <c r="F31" s="10">
        <f>SUMIF(A32:A36, "1.3.1.*", F32:F36)</f>
        <v>798138</v>
      </c>
      <c r="G31" s="10">
        <f>SUMIF(A32:A36, "1.3.1.*", G32:G36)</f>
        <v>189420</v>
      </c>
      <c r="H31" s="10">
        <f>SUMIF(A32:A36, "1.3.1.*", H32:H36)</f>
        <v>0</v>
      </c>
      <c r="I31" s="10">
        <f>SUMIF(A32:A36, "1.3.1.*", I32:I36)</f>
        <v>0</v>
      </c>
      <c r="J31" s="10">
        <f>SUMIF(A32:A36, "1.3.1.*", J32:J36)</f>
        <v>0</v>
      </c>
      <c r="K31" s="10">
        <f>SUMIF(A32:A36, "1.3.1.*", K32:K36)</f>
        <v>189420</v>
      </c>
    </row>
    <row r="32" spans="1:11" ht="49.5" customHeight="1" x14ac:dyDescent="0.3">
      <c r="A32" s="17" t="s">
        <v>46</v>
      </c>
      <c r="B32" s="18" t="s">
        <v>64</v>
      </c>
      <c r="C32" s="19" t="s">
        <v>67</v>
      </c>
      <c r="D32" s="11">
        <v>2022</v>
      </c>
      <c r="E32" s="11">
        <v>2026</v>
      </c>
      <c r="F32" s="12">
        <v>798138</v>
      </c>
      <c r="G32" s="12">
        <v>189420</v>
      </c>
      <c r="H32" s="13">
        <v>0</v>
      </c>
      <c r="I32" s="13">
        <v>0</v>
      </c>
      <c r="J32" s="13">
        <v>0</v>
      </c>
      <c r="K32" s="12">
        <v>189420</v>
      </c>
    </row>
    <row r="33" spans="1:11" ht="35.1" customHeight="1" x14ac:dyDescent="0.3">
      <c r="A33" s="15" t="s">
        <v>47</v>
      </c>
      <c r="B33" s="16" t="s">
        <v>16</v>
      </c>
      <c r="C33" s="20"/>
      <c r="D33" s="9"/>
      <c r="E33" s="9"/>
      <c r="F33" s="10">
        <f>F34+F35</f>
        <v>3945620</v>
      </c>
      <c r="G33" s="10">
        <f>G34+G35</f>
        <v>2087372</v>
      </c>
      <c r="H33" s="10">
        <f>H34+H35</f>
        <v>1788248</v>
      </c>
      <c r="I33" s="10">
        <f>SUMIF(A35:A36, "1.3.2.*", I35:I36)</f>
        <v>0</v>
      </c>
      <c r="J33" s="10">
        <f>SUMIF(A35:A36, "1.3.2.*", J35:J36)</f>
        <v>0</v>
      </c>
      <c r="K33" s="10">
        <f>SUMIF(A35:A36, "1.3.2.*", K35:K36)+K34</f>
        <v>3875620</v>
      </c>
    </row>
    <row r="34" spans="1:11" ht="35.1" customHeight="1" x14ac:dyDescent="0.3">
      <c r="A34" s="17" t="s">
        <v>48</v>
      </c>
      <c r="B34" s="18" t="s">
        <v>68</v>
      </c>
      <c r="C34" s="19" t="s">
        <v>66</v>
      </c>
      <c r="D34" s="11">
        <v>2025</v>
      </c>
      <c r="E34" s="11">
        <v>2027</v>
      </c>
      <c r="F34" s="12">
        <v>2570000</v>
      </c>
      <c r="G34" s="12">
        <v>1250000</v>
      </c>
      <c r="H34" s="12">
        <v>1250000</v>
      </c>
      <c r="I34" s="13">
        <v>0</v>
      </c>
      <c r="J34" s="13">
        <v>0</v>
      </c>
      <c r="K34" s="12">
        <f>G34+H34</f>
        <v>2500000</v>
      </c>
    </row>
    <row r="35" spans="1:11" ht="35.1" customHeight="1" x14ac:dyDescent="0.3">
      <c r="A35" s="17" t="s">
        <v>51</v>
      </c>
      <c r="B35" s="18" t="s">
        <v>65</v>
      </c>
      <c r="C35" s="19" t="s">
        <v>66</v>
      </c>
      <c r="D35" s="11">
        <v>2026</v>
      </c>
      <c r="E35" s="11">
        <v>2027</v>
      </c>
      <c r="F35" s="12">
        <v>1375620</v>
      </c>
      <c r="G35" s="12">
        <v>837372</v>
      </c>
      <c r="H35" s="12">
        <v>538248</v>
      </c>
      <c r="I35" s="13">
        <v>0</v>
      </c>
      <c r="J35" s="13">
        <v>0</v>
      </c>
      <c r="K35" s="12">
        <v>1375620</v>
      </c>
    </row>
  </sheetData>
  <conditionalFormatting sqref="B9:K9">
    <cfRule type="beginsWith" dxfId="9" priority="1" operator="beginsWith" text="Tak">
      <formula>LEFT(B9,LEN("Tak"))="Tak"</formula>
    </cfRule>
    <cfRule type="beginsWith" dxfId="8" priority="2" operator="beginsWith" text="Nie">
      <formula>LEFT(B9,LEN("Nie"))="Nie"</formula>
    </cfRule>
  </conditionalFormatting>
  <conditionalFormatting sqref="B17:K17">
    <cfRule type="beginsWith" dxfId="7" priority="3" operator="beginsWith" text="Tak">
      <formula>LEFT(B17,LEN("Tak"))="Tak"</formula>
    </cfRule>
    <cfRule type="beginsWith" dxfId="6" priority="4" operator="beginsWith" text="Nie">
      <formula>LEFT(B17,LEN("Nie"))="Nie"</formula>
    </cfRule>
  </conditionalFormatting>
  <conditionalFormatting sqref="B28:K29">
    <cfRule type="beginsWith" dxfId="5" priority="5" operator="beginsWith" text="Tak">
      <formula>LEFT(B28,LEN("Tak"))="Tak"</formula>
    </cfRule>
    <cfRule type="beginsWith" dxfId="4" priority="6" operator="beginsWith" text="Nie">
      <formula>LEFT(B28,LEN("Nie"))="Nie"</formula>
    </cfRule>
  </conditionalFormatting>
  <conditionalFormatting sqref="B31:K31">
    <cfRule type="beginsWith" dxfId="3" priority="9" operator="beginsWith" text="Tak">
      <formula>LEFT(B31,LEN("Tak"))="Tak"</formula>
    </cfRule>
    <cfRule type="beginsWith" dxfId="2" priority="10" operator="beginsWith" text="Nie">
      <formula>LEFT(B31,LEN("Nie"))="Nie"</formula>
    </cfRule>
  </conditionalFormatting>
  <conditionalFormatting sqref="B33:K33">
    <cfRule type="beginsWith" dxfId="1" priority="11" operator="beginsWith" text="Tak">
      <formula>LEFT(B33,LEN("Tak"))="Tak"</formula>
    </cfRule>
    <cfRule type="beginsWith" dxfId="0" priority="12" operator="beginsWith" text="Nie">
      <formula>LEFT(B33,LEN("Nie"))="Nie"</formula>
    </cfRule>
  </conditionalFormatting>
  <pageMargins left="0.31496062992125984" right="0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Marta Kozik</cp:lastModifiedBy>
  <cp:lastPrinted>2026-05-07T09:38:15Z</cp:lastPrinted>
  <dcterms:modified xsi:type="dcterms:W3CDTF">2026-06-23T05:18:21Z</dcterms:modified>
</cp:coreProperties>
</file>