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16\uchwaly\XVI 84 25 WPF\"/>
    </mc:Choice>
  </mc:AlternateContent>
  <xr:revisionPtr revIDLastSave="0" documentId="13_ncr:1_{CAF86CA9-81A8-4C90-B7A2-D79E2C44EF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2" sheetId="1" r:id="rId1"/>
  </sheets>
  <calcPr calcId="181029"/>
</workbook>
</file>

<file path=xl/calcChain.xml><?xml version="1.0" encoding="utf-8"?>
<calcChain xmlns="http://schemas.openxmlformats.org/spreadsheetml/2006/main">
  <c r="G33" i="1" l="1"/>
  <c r="L37" i="1"/>
  <c r="G37" i="1"/>
  <c r="F37" i="1"/>
  <c r="L33" i="1"/>
  <c r="K33" i="1"/>
  <c r="K30" i="1" s="1"/>
  <c r="J33" i="1"/>
  <c r="I33" i="1"/>
  <c r="H33" i="1"/>
  <c r="F33" i="1"/>
  <c r="L31" i="1"/>
  <c r="L30" i="1" s="1"/>
  <c r="K31" i="1"/>
  <c r="J31" i="1"/>
  <c r="J30" i="1" s="1"/>
  <c r="I31" i="1"/>
  <c r="H31" i="1"/>
  <c r="H30" i="1" s="1"/>
  <c r="G31" i="1"/>
  <c r="F31" i="1"/>
  <c r="F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18" i="1"/>
  <c r="K18" i="1"/>
  <c r="J18" i="1"/>
  <c r="I18" i="1"/>
  <c r="H18" i="1"/>
  <c r="G18" i="1"/>
  <c r="F18" i="1"/>
  <c r="L11" i="1"/>
  <c r="K11" i="1"/>
  <c r="J11" i="1"/>
  <c r="I11" i="1"/>
  <c r="H11" i="1"/>
  <c r="G11" i="1"/>
  <c r="F11" i="1"/>
  <c r="G30" i="1" l="1"/>
  <c r="H10" i="1"/>
  <c r="G9" i="1"/>
  <c r="G27" i="1"/>
  <c r="K10" i="1"/>
  <c r="I30" i="1"/>
  <c r="I27" i="1"/>
  <c r="G10" i="1"/>
  <c r="K27" i="1"/>
  <c r="H27" i="1"/>
  <c r="H7" i="1" s="1"/>
  <c r="F8" i="1"/>
  <c r="L8" i="1"/>
  <c r="K9" i="1"/>
  <c r="J27" i="1"/>
  <c r="L10" i="1"/>
  <c r="J9" i="1"/>
  <c r="K8" i="1"/>
  <c r="F10" i="1"/>
  <c r="H9" i="1"/>
  <c r="I8" i="1"/>
  <c r="L9" i="1"/>
  <c r="F9" i="1"/>
  <c r="J8" i="1"/>
  <c r="I9" i="1"/>
  <c r="G8" i="1"/>
  <c r="F27" i="1"/>
  <c r="L27" i="1"/>
  <c r="L7" i="1" s="1"/>
  <c r="H8" i="1"/>
  <c r="I10" i="1"/>
  <c r="J10" i="1"/>
  <c r="G7" i="1" l="1"/>
  <c r="J7" i="1"/>
  <c r="I7" i="1"/>
  <c r="K7" i="1"/>
  <c r="F7" i="1"/>
</calcChain>
</file>

<file path=xl/sharedStrings.xml><?xml version="1.0" encoding="utf-8"?>
<sst xmlns="http://schemas.openxmlformats.org/spreadsheetml/2006/main" count="97" uniqueCount="73">
  <si>
    <t>Lp.</t>
  </si>
  <si>
    <t>Nazwa i cel</t>
  </si>
  <si>
    <t>Jednostka</t>
  </si>
  <si>
    <t>Od</t>
  </si>
  <si>
    <t>Do</t>
  </si>
  <si>
    <t>Nakłady</t>
  </si>
  <si>
    <t>2025</t>
  </si>
  <si>
    <t>2026</t>
  </si>
  <si>
    <t>2027</t>
  </si>
  <si>
    <t>2028</t>
  </si>
  <si>
    <t>2029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</si>
  <si>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</si>
  <si>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</si>
  <si>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</si>
  <si>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</si>
  <si>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</si>
  <si>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</si>
  <si>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</si>
  <si>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</si>
  <si>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</si>
  <si>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</si>
  <si>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</si>
  <si>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 xml:space="preserve">CYBERBEZPIECZNY SAMORZĄD - </t>
  </si>
  <si>
    <t>1.1.1.2</t>
  </si>
  <si>
    <t xml:space="preserve">Voucher zatrudnieniowy dla Powiatu Świdwińskiego  - </t>
  </si>
  <si>
    <t>POWIATOWY URZĄD PRACY</t>
  </si>
  <si>
    <t>1.1.1.3</t>
  </si>
  <si>
    <t xml:space="preserve">Wybierz przyszłość dla Rodziny Plus - </t>
  </si>
  <si>
    <t>POWIATOWE CENTRUM POMOCY RODZINIE</t>
  </si>
  <si>
    <t>1.1.1.4</t>
  </si>
  <si>
    <t xml:space="preserve">Zwiększenie jakości i dostępności usług publicznych poprzez doposażenie Centrum Nauki Cordis w Świdwinie - </t>
  </si>
  <si>
    <t>Starostwo Powiatowe w Świdwinie</t>
  </si>
  <si>
    <t>1.1.1.5</t>
  </si>
  <si>
    <t xml:space="preserve">Poprawa jakości i dostępności kształcenia zawodowego w szkołach ponadpodstawowych wraz z doposażeniem pracowni w powiecie świdwińskim  - </t>
  </si>
  <si>
    <t>1.1.1.6</t>
  </si>
  <si>
    <t xml:space="preserve">Rozbudowa Regionalnej Infrastruktury Informacji Przestrzennej Województwa Zachodniopomorskiego - </t>
  </si>
  <si>
    <t>Starostwo Powiatowe</t>
  </si>
  <si>
    <t>1.1.2</t>
  </si>
  <si>
    <t>1.1.2.1</t>
  </si>
  <si>
    <t xml:space="preserve">Adaptacja terenów zurbanizowanych do zmian klimatu – mała retencja wodna w szpitalu w Połczynie Zdroju  - </t>
  </si>
  <si>
    <t>1.1.2.2</t>
  </si>
  <si>
    <t xml:space="preserve">Zwiększenie efektywności energetycznej w budynku Poradni Psychologiczno-Pedagogicznej w Świdwinie poprzez termomodernizację i wymianę źródła ciepła                   - </t>
  </si>
  <si>
    <t>1.1.2.3</t>
  </si>
  <si>
    <t xml:space="preserve">Zwiększenie jakości i dostępności usług publicznych ZSR CKZ w Świdwinie - </t>
  </si>
  <si>
    <t>1.1.2.4</t>
  </si>
  <si>
    <t>1.1.2.5</t>
  </si>
  <si>
    <t>1.1.2.6</t>
  </si>
  <si>
    <t xml:space="preserve">Termomodernizacja budynku mieszkalnego przy ulicy Wojska Polskiego 27 w Świdwinie - </t>
  </si>
  <si>
    <t>1.1.2.7</t>
  </si>
  <si>
    <t>1.1.2.8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</si>
  <si>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</si>
  <si>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</si>
  <si>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</si>
  <si>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</si>
  <si>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</si>
  <si>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</si>
  <si>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</si>
  <si>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</si>
  <si>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 xml:space="preserve">Program kompleksowego wsparcia dla rodzin "Za życiem" - </t>
  </si>
  <si>
    <t>PORADNIA PSYCHOLOGICZNO - PEDAGOGICZNA W POŁCZYNIE - ZDROJU</t>
  </si>
  <si>
    <t>1.3.2</t>
  </si>
  <si>
    <t>1.3.2.1</t>
  </si>
  <si>
    <t xml:space="preserve">Rewitalizacja iglicy kościoła pod wezwaniem Matki Bożej Nieustającej Pomocy w Świdwinie - </t>
  </si>
  <si>
    <t>1.3.2.2</t>
  </si>
  <si>
    <t xml:space="preserve">Poprawa jakości usług medycznych w szpitalu powiatowym w Połczynie-Zdroju - </t>
  </si>
  <si>
    <t>1.3.2.3</t>
  </si>
  <si>
    <t xml:space="preserve">Remont dachu zabytkowego szpitala w Połczynie-Zdroju - </t>
  </si>
  <si>
    <t>1.3.2.4</t>
  </si>
  <si>
    <t xml:space="preserve">Budowa boiska trawiastegowraz z infrastrukturą towarzyszącą przy ZSR CKZ w Świdwinie - </t>
  </si>
  <si>
    <t>Rady Powiatu Świdwińskiego</t>
  </si>
  <si>
    <t>PRZEDSIĘWZIĘCIA NA LATA 2025-2029 DO WIELOLETNIEJ PROGNOZY FINANSOWEJ POWIATU ŚWIDWIŃSKIEGO NA LATA 2025-2032</t>
  </si>
  <si>
    <t xml:space="preserve">Załącznik Nr 2 do Uchwały </t>
  </si>
  <si>
    <t>Nr XVI/84/25 z dnia 25.09.2025r.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</si>
</sst>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0" fillId="0" borderId="0" xfId="0" applyNumberFormat="1"/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BreakPreview" topLeftCell="A19" zoomScale="60" zoomScaleNormal="100" workbookViewId="0">
      <selection activeCell="I10" sqref="I10"/>
    </sheetView>
  </sheetViews>
  <sheetFormatPr defaultRowHeight="14.4" x14ac:dyDescent="0.3"/>
  <cols>
    <col min="1" max="1" width="7.109375" customWidth="1"/>
    <col min="2" max="2" width="42.88671875" customWidth="1"/>
    <col min="3" max="3" width="17.6640625" style="15" customWidth="1"/>
    <col min="4" max="5" width="11.44140625" customWidth="1"/>
    <col min="6" max="12" width="14.33203125" customWidth="1"/>
    <col min="15" max="15" width="11.44140625" bestFit="1" customWidth="1"/>
  </cols>
  <sheetData>
    <row r="1" spans="1:12" s="17" customFormat="1" ht="13.8" x14ac:dyDescent="0.25">
      <c r="A1" s="16"/>
      <c r="K1" s="18" t="s">
        <v>71</v>
      </c>
    </row>
    <row r="2" spans="1:12" s="17" customFormat="1" ht="13.8" x14ac:dyDescent="0.25">
      <c r="A2" s="16"/>
      <c r="K2" s="18" t="s">
        <v>69</v>
      </c>
    </row>
    <row r="3" spans="1:12" s="17" customFormat="1" ht="13.8" x14ac:dyDescent="0.25">
      <c r="A3" s="16"/>
      <c r="K3" s="18" t="s">
        <v>72</v>
      </c>
    </row>
    <row r="4" spans="1:12" ht="15.6" x14ac:dyDescent="0.3">
      <c r="B4" s="19" t="s">
        <v>70</v>
      </c>
    </row>
    <row r="6" spans="1:12" s="11" customFormat="1" ht="20.100000000000001" customHeight="1" x14ac:dyDescent="0.3">
      <c r="A6" s="10" t="s">
        <v>0</v>
      </c>
      <c r="B6" s="10" t="s">
        <v>1</v>
      </c>
      <c r="C6" s="12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</row>
    <row r="7" spans="1:12" ht="20.100000000000001" customHeight="1" x14ac:dyDescent="0.3">
      <c r="A7" s="1" t="s">
        <v>12</v>
      </c>
      <c r="B7" s="2" t="s">
        <v>13</v>
      </c>
      <c r="C7" s="13"/>
      <c r="D7" s="4"/>
      <c r="E7" s="4"/>
      <c r="F7" s="3">
        <f>IF(ISNUMBER(VLOOKUP("1.1",A7:L38,6,FALSE)),ROUND(VLOOKUP("1.1",A7:L38,6,FALSE),4),0) + IF(ISNUMBER(VLOOKUP("1.2",A7:L38,6,FALSE)),ROUND(VLOOKUP("1.2",A7:L38,6,FALSE),4),0) + IF(ISNUMBER(VLOOKUP("1.3",A7:L38,6,FALSE)),ROUND(VLOOKUP("1.3",A7:L38,6,FALSE),4),0)</f>
        <v>44215754</v>
      </c>
      <c r="G7" s="3">
        <f>IF(ISNUMBER(VLOOKUP("1.1",A7:L38,7,FALSE)),ROUND(VLOOKUP("1.1",A7:L38,7,FALSE),4),0) + IF(ISNUMBER(VLOOKUP("1.2",A7:L38,7,FALSE)),ROUND(VLOOKUP("1.2",A7:L38,7,FALSE),4),0) + IF(ISNUMBER(VLOOKUP("1.3",A7:L38,7,FALSE)),ROUND(VLOOKUP("1.3",A7:L38,7,FALSE),4),0)</f>
        <v>18948138</v>
      </c>
      <c r="H7" s="3">
        <f>IF(ISNUMBER(VLOOKUP("1.1",A7:L38,8,FALSE)),ROUND(VLOOKUP("1.1",A7:L38,8,FALSE),4),0) + IF(ISNUMBER(VLOOKUP("1.2",A7:L38,8,FALSE)),ROUND(VLOOKUP("1.2",A7:L38,8,FALSE),4),0) + IF(ISNUMBER(VLOOKUP("1.3",A7:L38,8,FALSE)),ROUND(VLOOKUP("1.3",A7:L38,8,FALSE),4),0)</f>
        <v>13321196</v>
      </c>
      <c r="I7" s="3">
        <f>IF(ISNUMBER(VLOOKUP("1.1",A7:L38,9,FALSE)),ROUND(VLOOKUP("1.1",A7:L38,9,FALSE),4),0) + IF(ISNUMBER(VLOOKUP("1.2",A7:L38,9,FALSE)),ROUND(VLOOKUP("1.2",A7:L38,9,FALSE),4),0) + IF(ISNUMBER(VLOOKUP("1.3",A7:L38,9,FALSE)),ROUND(VLOOKUP("1.3",A7:L38,9,FALSE),4),0)</f>
        <v>5925676</v>
      </c>
      <c r="J7" s="3">
        <f>IF(ISNUMBER(VLOOKUP("1.1",A7:L38,10,FALSE)),ROUND(VLOOKUP("1.1",A7:L38,10,FALSE),4),0) + IF(ISNUMBER(VLOOKUP("1.2",A7:L38,10,FALSE)),ROUND(VLOOKUP("1.2",A7:L38,10,FALSE),4),0) + IF(ISNUMBER(VLOOKUP("1.3",A7:L38,10,FALSE)),ROUND(VLOOKUP("1.3",A7:L38,10,FALSE),4),0)</f>
        <v>732391</v>
      </c>
      <c r="K7" s="3">
        <f>IF(ISNUMBER(VLOOKUP("1.1",A7:L38,11,FALSE)),ROUND(VLOOKUP("1.1",A7:L38,11,FALSE),4),0) + IF(ISNUMBER(VLOOKUP("1.2",A7:L38,11,FALSE)),ROUND(VLOOKUP("1.2",A7:L38,11,FALSE),4),0) + IF(ISNUMBER(VLOOKUP("1.3",A7:L38,11,FALSE)),ROUND(VLOOKUP("1.3",A7:L38,11,FALSE),4),0)</f>
        <v>266607</v>
      </c>
      <c r="L7" s="3">
        <f>IF(ISNUMBER(VLOOKUP("1.1",A7:L38,12,FALSE)),ROUND(VLOOKUP("1.1",A7:L38,12,FALSE),4),0) + IF(ISNUMBER(VLOOKUP("1.2",A7:L38,12,FALSE)),ROUND(VLOOKUP("1.2",A7:L38,12,FALSE),4),0) + IF(ISNUMBER(VLOOKUP("1.3",A7:L38,12,FALSE)),ROUND(VLOOKUP("1.3",A7:L38,12,FALSE),4),0)</f>
        <v>39194008</v>
      </c>
    </row>
    <row r="8" spans="1:12" ht="20.100000000000001" customHeight="1" x14ac:dyDescent="0.3">
      <c r="A8" s="1" t="s">
        <v>14</v>
      </c>
      <c r="B8" s="2" t="s">
        <v>15</v>
      </c>
      <c r="C8" s="13"/>
      <c r="D8" s="4"/>
      <c r="E8" s="4"/>
      <c r="F8" s="3">
        <f>IF(ISNUMBER(VLOOKUP("1.1.1",A7:L38,6,FALSE)),ROUND(VLOOKUP("1.1.1",A7:L38,6,FALSE),4),0) + IF(ISNUMBER(VLOOKUP("1.2.1",A7:L38,6,FALSE)),ROUND(VLOOKUP("1.2.1",A7:L38,6,FALSE),4),0) + IF(ISNUMBER(VLOOKUP("1.3.1",A7:L38,6,FALSE)),ROUND(VLOOKUP("1.3.1",A7:L38,6,FALSE),4),0)</f>
        <v>12315122</v>
      </c>
      <c r="G8" s="3">
        <f>IF(ISNUMBER(VLOOKUP("1.1.1",A7:L38,7,FALSE)),ROUND(VLOOKUP("1.1.1",A7:L38,7,FALSE),4),0) + IF(ISNUMBER(VLOOKUP("1.2.1",A7:L38,7,FALSE)),ROUND(VLOOKUP("1.2.1",A7:L38,7,FALSE),4),0) + IF(ISNUMBER(VLOOKUP("1.3.1",A7:L38,7,FALSE)),ROUND(VLOOKUP("1.3.1",A7:L38,7,FALSE),4),0)</f>
        <v>2993163</v>
      </c>
      <c r="H8" s="3">
        <f>IF(ISNUMBER(VLOOKUP("1.1.1",A7:L38,8,FALSE)),ROUND(VLOOKUP("1.1.1",A7:L38,8,FALSE),4),0) + IF(ISNUMBER(VLOOKUP("1.2.1",A7:L38,8,FALSE)),ROUND(VLOOKUP("1.2.1",A7:L38,8,FALSE),4),0) + IF(ISNUMBER(VLOOKUP("1.3.1",A7:L38,8,FALSE)),ROUND(VLOOKUP("1.3.1",A7:L38,8,FALSE),4),0)</f>
        <v>4554488</v>
      </c>
      <c r="I8" s="3">
        <f>IF(ISNUMBER(VLOOKUP("1.1.1",A7:L38,9,FALSE)),ROUND(VLOOKUP("1.1.1",A7:L38,9,FALSE),4),0) + IF(ISNUMBER(VLOOKUP("1.2.1",A7:L38,9,FALSE)),ROUND(VLOOKUP("1.2.1",A7:L38,9,FALSE),4),0) + IF(ISNUMBER(VLOOKUP("1.3.1",A7:L38,9,FALSE)),ROUND(VLOOKUP("1.3.1",A7:L38,9,FALSE),4),0)</f>
        <v>1703645</v>
      </c>
      <c r="J8" s="3">
        <f>IF(ISNUMBER(VLOOKUP("1.1.1",A7:L38,10,FALSE)),ROUND(VLOOKUP("1.1.1",A7:L38,10,FALSE),4),0) + IF(ISNUMBER(VLOOKUP("1.2.1",A7:L38,10,FALSE)),ROUND(VLOOKUP("1.2.1",A7:L38,10,FALSE),4),0) + IF(ISNUMBER(VLOOKUP("1.3.1",A7:L38,10,FALSE)),ROUND(VLOOKUP("1.3.1",A7:L38,10,FALSE),4),0)</f>
        <v>732391</v>
      </c>
      <c r="K8" s="3">
        <f>IF(ISNUMBER(VLOOKUP("1.1.1",A7:L38,11,FALSE)),ROUND(VLOOKUP("1.1.1",A7:L38,11,FALSE),4),0) + IF(ISNUMBER(VLOOKUP("1.2.1",A7:L38,11,FALSE)),ROUND(VLOOKUP("1.2.1",A7:L38,11,FALSE),4),0) + IF(ISNUMBER(VLOOKUP("1.3.1",A7:L38,11,FALSE)),ROUND(VLOOKUP("1.3.1",A7:L38,11,FALSE),4),0)</f>
        <v>266607</v>
      </c>
      <c r="L8" s="3">
        <f>IF(ISNUMBER(VLOOKUP("1.1.1",A7:L38,12,FALSE)),ROUND(VLOOKUP("1.1.1",A7:L38,12,FALSE),4),0) + IF(ISNUMBER(VLOOKUP("1.2.1",A7:L38,12,FALSE)),ROUND(VLOOKUP("1.2.1",A7:L38,12,FALSE),4),0) + IF(ISNUMBER(VLOOKUP("1.3.1",A7:L38,12,FALSE)),ROUND(VLOOKUP("1.3.1",A7:L38,12,FALSE),4),0)</f>
        <v>10250294</v>
      </c>
    </row>
    <row r="9" spans="1:12" ht="20.100000000000001" customHeight="1" x14ac:dyDescent="0.3">
      <c r="A9" s="1" t="s">
        <v>16</v>
      </c>
      <c r="B9" s="2" t="s">
        <v>17</v>
      </c>
      <c r="C9" s="13"/>
      <c r="D9" s="4"/>
      <c r="E9" s="4"/>
      <c r="F9" s="3">
        <f>IF(ISNUMBER(VLOOKUP("1.1.2",A7:L38,6,FALSE)),ROUND(VLOOKUP("1.1.2",A7:L38,6,FALSE),4),0) + IF(ISNUMBER(VLOOKUP("1.2.2",A7:L38,6,FALSE)),ROUND(VLOOKUP("1.2.2",A7:L38,6,FALSE),4),0) + IF(ISNUMBER(VLOOKUP("1.3.2",A7:L38,6,FALSE)),ROUND(VLOOKUP("1.3.2",A7:L38,6,FALSE),4),0)</f>
        <v>31900632</v>
      </c>
      <c r="G9" s="3">
        <f>IF(ISNUMBER(VLOOKUP("1.1.2",A7:L38,7,FALSE)),ROUND(VLOOKUP("1.1.2",A7:L38,7,FALSE),4),0) + IF(ISNUMBER(VLOOKUP("1.2.2",A7:L38,7,FALSE)),ROUND(VLOOKUP("1.2.2",A7:L38,7,FALSE),4),0) + IF(ISNUMBER(VLOOKUP("1.3.2",A7:L38,7,FALSE)),ROUND(VLOOKUP("1.3.2",A7:L38,7,FALSE),4),0)</f>
        <v>15954975</v>
      </c>
      <c r="H9" s="3">
        <f>IF(ISNUMBER(VLOOKUP("1.1.2",A7:L38,8,FALSE)),ROUND(VLOOKUP("1.1.2",A7:L38,8,FALSE),4),0) + IF(ISNUMBER(VLOOKUP("1.2.2",A7:L38,8,FALSE)),ROUND(VLOOKUP("1.2.2",A7:L38,8,FALSE),4),0) + IF(ISNUMBER(VLOOKUP("1.3.2",A7:L38,8,FALSE)),ROUND(VLOOKUP("1.3.2",A7:L38,8,FALSE),4),0)</f>
        <v>8766708</v>
      </c>
      <c r="I9" s="3">
        <f>IF(ISNUMBER(VLOOKUP("1.1.2",A7:L38,9,FALSE)),ROUND(VLOOKUP("1.1.2",A7:L38,9,FALSE),4),0) + IF(ISNUMBER(VLOOKUP("1.2.2",A7:L38,9,FALSE)),ROUND(VLOOKUP("1.2.2",A7:L38,9,FALSE),4),0) + IF(ISNUMBER(VLOOKUP("1.3.2",A7:L38,9,FALSE)),ROUND(VLOOKUP("1.3.2",A7:L38,9,FALSE),4),0)</f>
        <v>4222031</v>
      </c>
      <c r="J9" s="3">
        <f>IF(ISNUMBER(VLOOKUP("1.1.2",A7:L38,10,FALSE)),ROUND(VLOOKUP("1.1.2",A7:L38,10,FALSE),4),0) + IF(ISNUMBER(VLOOKUP("1.2.2",A7:L38,10,FALSE)),ROUND(VLOOKUP("1.2.2",A7:L38,10,FALSE),4),0) + IF(ISNUMBER(VLOOKUP("1.3.2",A7:L38,10,FALSE)),ROUND(VLOOKUP("1.3.2",A7:L38,10,FALSE),4),0)</f>
        <v>0</v>
      </c>
      <c r="K9" s="3">
        <f>IF(ISNUMBER(VLOOKUP("1.1.2",A7:L38,11,FALSE)),ROUND(VLOOKUP("1.1.2",A7:L38,11,FALSE),4),0) + IF(ISNUMBER(VLOOKUP("1.2.2",A7:L38,11,FALSE)),ROUND(VLOOKUP("1.2.2",A7:L38,11,FALSE),4),0) + IF(ISNUMBER(VLOOKUP("1.3.2",A7:L38,11,FALSE)),ROUND(VLOOKUP("1.3.2",A7:L38,11,FALSE),4),0)</f>
        <v>0</v>
      </c>
      <c r="L9" s="3">
        <f>IF(ISNUMBER(VLOOKUP("1.1.2",A7:L38,12,FALSE)),ROUND(VLOOKUP("1.1.2",A7:L38,12,FALSE),4),0) + IF(ISNUMBER(VLOOKUP("1.2.2",A7:L38,12,FALSE)),ROUND(VLOOKUP("1.2.2",A7:L38,12,FALSE),4),0) + IF(ISNUMBER(VLOOKUP("1.3.2",A7:L38,12,FALSE)),ROUND(VLOOKUP("1.3.2",A7:L38,12,FALSE),4),0)</f>
        <v>28943714</v>
      </c>
    </row>
    <row r="10" spans="1:12" ht="65.7" customHeight="1" x14ac:dyDescent="0.3">
      <c r="A10" s="1" t="s">
        <v>18</v>
      </c>
      <c r="B10" s="2" t="s">
        <v>19</v>
      </c>
      <c r="C10" s="13"/>
      <c r="D10" s="4"/>
      <c r="E10" s="4"/>
      <c r="F10" s="3">
        <f>IF(ISNUMBER(VLOOKUP("1.1.1",A7:L38,6,FALSE)),ROUND(VLOOKUP("1.1.1",A7:L38,6,FALSE),4),0) + IF(ISNUMBER(VLOOKUP("1.1.2",A7:L38,6,FALSE)),ROUND(VLOOKUP("1.1.2",A7:L38,6,FALSE),4),0)</f>
        <v>25883174</v>
      </c>
      <c r="G10" s="3">
        <f>IF(ISNUMBER(VLOOKUP("1.1.1",A7:L38,7,FALSE)),ROUND(VLOOKUP("1.1.1",A7:L38,7,FALSE),4),0) + IF(ISNUMBER(VLOOKUP("1.1.2",A7:L38,7,FALSE)),ROUND(VLOOKUP("1.1.2",A7:L38,7,FALSE),4),0)</f>
        <v>4181194</v>
      </c>
      <c r="H10" s="3">
        <f>IF(ISNUMBER(VLOOKUP("1.1.1",A7:L38,8,FALSE)),ROUND(VLOOKUP("1.1.1",A7:L38,8,FALSE),4),0) + IF(ISNUMBER(VLOOKUP("1.1.2",A7:L38,8,FALSE)),ROUND(VLOOKUP("1.1.2",A7:L38,8,FALSE),4),0)</f>
        <v>13131776</v>
      </c>
      <c r="I10" s="3">
        <f>IF(ISNUMBER(VLOOKUP("1.1.1",A7:L38,9,FALSE)),ROUND(VLOOKUP("1.1.1",A7:L38,9,FALSE),4),0) + IF(ISNUMBER(VLOOKUP("1.1.2",A7:L38,9,FALSE)),ROUND(VLOOKUP("1.1.2",A7:L38,9,FALSE),4),0)</f>
        <v>5925676</v>
      </c>
      <c r="J10" s="3">
        <f>IF(ISNUMBER(VLOOKUP("1.1.1",A7:L38,10,FALSE)),ROUND(VLOOKUP("1.1.1",A7:L38,10,FALSE),4),0) + IF(ISNUMBER(VLOOKUP("1.1.2",A7:L38,10,FALSE)),ROUND(VLOOKUP("1.1.2",A7:L38,10,FALSE),4),0)</f>
        <v>732391</v>
      </c>
      <c r="K10" s="3">
        <f>IF(ISNUMBER(VLOOKUP("1.1.1",A7:L38,11,FALSE)),ROUND(VLOOKUP("1.1.1",A7:L38,11,FALSE),4),0) + IF(ISNUMBER(VLOOKUP("1.1.2",A7:L38,11,FALSE)),ROUND(VLOOKUP("1.1.2",A7:L38,11,FALSE),4),0)</f>
        <v>266607</v>
      </c>
      <c r="L10" s="3">
        <f>IF(ISNUMBER(VLOOKUP("1.1.1",A7:L38,12,FALSE)),ROUND(VLOOKUP("1.1.1",A7:L38,12,FALSE),4),0) + IF(ISNUMBER(VLOOKUP("1.1.2",A7:L38,12,FALSE)),ROUND(VLOOKUP("1.1.2",A7:L38,12,FALSE),4),0)</f>
        <v>24237644</v>
      </c>
    </row>
    <row r="11" spans="1:12" ht="24.9" customHeight="1" x14ac:dyDescent="0.3">
      <c r="A11" s="1" t="s">
        <v>20</v>
      </c>
      <c r="B11" s="2" t="s">
        <v>15</v>
      </c>
      <c r="C11" s="13"/>
      <c r="D11" s="4"/>
      <c r="E11" s="4"/>
      <c r="F11" s="3">
        <f>SUMIF(A12:A38, "1.1.1.*", F12:F38)</f>
        <v>11516984</v>
      </c>
      <c r="G11" s="3">
        <f>SUMIF(A12:A38, "1.1.1.*", G12:G38)</f>
        <v>2803743</v>
      </c>
      <c r="H11" s="3">
        <f>SUMIF(A12:A38, "1.1.1.*", H12:H38)</f>
        <v>4365068</v>
      </c>
      <c r="I11" s="3">
        <f>SUMIF(A12:A38, "1.1.1.*", I12:I38)</f>
        <v>1703645</v>
      </c>
      <c r="J11" s="3">
        <f>SUMIF(A12:A38, "1.1.1.*", J12:J38)</f>
        <v>732391</v>
      </c>
      <c r="K11" s="3">
        <f>SUMIF(A12:A38, "1.1.1.*", K12:K38)</f>
        <v>266607</v>
      </c>
      <c r="L11" s="3">
        <f>SUMIF(A12:A38, "1.1.1.*", L12:L38)</f>
        <v>9871454</v>
      </c>
    </row>
    <row r="12" spans="1:12" ht="39.9" customHeight="1" x14ac:dyDescent="0.3">
      <c r="A12" s="5" t="s">
        <v>21</v>
      </c>
      <c r="B12" s="6" t="s">
        <v>22</v>
      </c>
      <c r="C12" s="14" t="s">
        <v>31</v>
      </c>
      <c r="D12" s="8">
        <v>2024</v>
      </c>
      <c r="E12" s="8">
        <v>2025</v>
      </c>
      <c r="F12" s="7">
        <v>262120</v>
      </c>
      <c r="G12" s="7">
        <v>80350</v>
      </c>
      <c r="H12" s="9">
        <v>0</v>
      </c>
      <c r="I12" s="9">
        <v>0</v>
      </c>
      <c r="J12" s="9">
        <v>0</v>
      </c>
      <c r="K12" s="9">
        <v>0</v>
      </c>
      <c r="L12" s="7">
        <v>80350</v>
      </c>
    </row>
    <row r="13" spans="1:12" ht="27" customHeight="1" x14ac:dyDescent="0.3">
      <c r="A13" s="5" t="s">
        <v>23</v>
      </c>
      <c r="B13" s="6" t="s">
        <v>24</v>
      </c>
      <c r="C13" s="14" t="s">
        <v>25</v>
      </c>
      <c r="D13" s="8">
        <v>2024</v>
      </c>
      <c r="E13" s="8">
        <v>2026</v>
      </c>
      <c r="F13" s="7">
        <v>3540510</v>
      </c>
      <c r="G13" s="7">
        <v>1793271</v>
      </c>
      <c r="H13" s="7">
        <v>283560</v>
      </c>
      <c r="I13" s="9">
        <v>0</v>
      </c>
      <c r="J13" s="9">
        <v>0</v>
      </c>
      <c r="K13" s="9">
        <v>0</v>
      </c>
      <c r="L13" s="7">
        <v>2076831</v>
      </c>
    </row>
    <row r="14" spans="1:12" ht="39.9" customHeight="1" x14ac:dyDescent="0.3">
      <c r="A14" s="5" t="s">
        <v>26</v>
      </c>
      <c r="B14" s="6" t="s">
        <v>27</v>
      </c>
      <c r="C14" s="14" t="s">
        <v>28</v>
      </c>
      <c r="D14" s="8">
        <v>2024</v>
      </c>
      <c r="E14" s="8">
        <v>2027</v>
      </c>
      <c r="F14" s="7">
        <v>1150248</v>
      </c>
      <c r="G14" s="7">
        <v>510497</v>
      </c>
      <c r="H14" s="7">
        <v>438416</v>
      </c>
      <c r="I14" s="7">
        <v>201254</v>
      </c>
      <c r="J14" s="9">
        <v>0</v>
      </c>
      <c r="K14" s="9">
        <v>0</v>
      </c>
      <c r="L14" s="7">
        <v>1150167</v>
      </c>
    </row>
    <row r="15" spans="1:12" ht="39.9" customHeight="1" x14ac:dyDescent="0.3">
      <c r="A15" s="5" t="s">
        <v>29</v>
      </c>
      <c r="B15" s="6" t="s">
        <v>30</v>
      </c>
      <c r="C15" s="14" t="s">
        <v>31</v>
      </c>
      <c r="D15" s="8">
        <v>2025</v>
      </c>
      <c r="E15" s="8">
        <v>2029</v>
      </c>
      <c r="F15" s="7">
        <v>2018982</v>
      </c>
      <c r="G15" s="7">
        <v>0</v>
      </c>
      <c r="H15" s="7">
        <v>600000</v>
      </c>
      <c r="I15" s="7">
        <v>600000</v>
      </c>
      <c r="J15" s="7">
        <v>600000</v>
      </c>
      <c r="K15" s="7">
        <v>218982</v>
      </c>
      <c r="L15" s="7">
        <v>2018982</v>
      </c>
    </row>
    <row r="16" spans="1:12" ht="39.9" customHeight="1" x14ac:dyDescent="0.3">
      <c r="A16" s="5" t="s">
        <v>32</v>
      </c>
      <c r="B16" s="6" t="s">
        <v>33</v>
      </c>
      <c r="C16" s="14" t="s">
        <v>31</v>
      </c>
      <c r="D16" s="8">
        <v>2025</v>
      </c>
      <c r="E16" s="8">
        <v>2028</v>
      </c>
      <c r="F16" s="7">
        <v>4144124</v>
      </c>
      <c r="G16" s="7">
        <v>372000</v>
      </c>
      <c r="H16" s="7">
        <v>2947842</v>
      </c>
      <c r="I16" s="7">
        <v>787141</v>
      </c>
      <c r="J16" s="7">
        <v>37141</v>
      </c>
      <c r="K16" s="9">
        <v>0</v>
      </c>
      <c r="L16" s="7">
        <v>4144124</v>
      </c>
    </row>
    <row r="17" spans="1:15" ht="27" customHeight="1" x14ac:dyDescent="0.3">
      <c r="A17" s="5" t="s">
        <v>34</v>
      </c>
      <c r="B17" s="6" t="s">
        <v>35</v>
      </c>
      <c r="C17" s="14" t="s">
        <v>36</v>
      </c>
      <c r="D17" s="8">
        <v>2025</v>
      </c>
      <c r="E17" s="8">
        <v>2029</v>
      </c>
      <c r="F17" s="7">
        <v>401000</v>
      </c>
      <c r="G17" s="7">
        <v>47625</v>
      </c>
      <c r="H17" s="7">
        <v>95250</v>
      </c>
      <c r="I17" s="7">
        <v>115250</v>
      </c>
      <c r="J17" s="7">
        <v>95250</v>
      </c>
      <c r="K17" s="7">
        <v>47625</v>
      </c>
      <c r="L17" s="7">
        <v>401000</v>
      </c>
      <c r="O17" s="20"/>
    </row>
    <row r="18" spans="1:15" ht="24.9" customHeight="1" x14ac:dyDescent="0.3">
      <c r="A18" s="1" t="s">
        <v>37</v>
      </c>
      <c r="B18" s="2" t="s">
        <v>17</v>
      </c>
      <c r="C18" s="13"/>
      <c r="D18" s="4"/>
      <c r="E18" s="4"/>
      <c r="F18" s="3">
        <f>SUMIF(A19:A38, "1.1.2.*", F19:F38)</f>
        <v>14366190</v>
      </c>
      <c r="G18" s="3">
        <f>SUMIF(A19:A38, "1.1.2.*", G19:G38)</f>
        <v>1377451</v>
      </c>
      <c r="H18" s="3">
        <f>SUMIF(A19:A38, "1.1.2.*", H19:H38)</f>
        <v>8766708</v>
      </c>
      <c r="I18" s="3">
        <f>SUMIF(A19:A38, "1.1.2.*", I19:I38)</f>
        <v>4222031</v>
      </c>
      <c r="J18" s="3">
        <f>SUMIF(A19:A38, "1.1.2.*", J19:J38)</f>
        <v>0</v>
      </c>
      <c r="K18" s="3">
        <f>SUMIF(A19:A38, "1.1.2.*", K19:K38)</f>
        <v>0</v>
      </c>
      <c r="L18" s="3">
        <f>SUMIF(A19:A38, "1.1.2.*", L19:L38)</f>
        <v>14366190</v>
      </c>
    </row>
    <row r="19" spans="1:15" ht="39.9" customHeight="1" x14ac:dyDescent="0.3">
      <c r="A19" s="5" t="s">
        <v>38</v>
      </c>
      <c r="B19" s="6" t="s">
        <v>39</v>
      </c>
      <c r="C19" s="14" t="s">
        <v>31</v>
      </c>
      <c r="D19" s="8">
        <v>2025</v>
      </c>
      <c r="E19" s="8">
        <v>2027</v>
      </c>
      <c r="F19" s="7">
        <v>4098910</v>
      </c>
      <c r="G19" s="7">
        <v>1054764</v>
      </c>
      <c r="H19" s="7">
        <v>3016765</v>
      </c>
      <c r="I19" s="7">
        <v>27381</v>
      </c>
      <c r="J19" s="9">
        <v>0</v>
      </c>
      <c r="K19" s="9">
        <v>0</v>
      </c>
      <c r="L19" s="7">
        <v>4098910</v>
      </c>
    </row>
    <row r="20" spans="1:15" ht="39.9" customHeight="1" x14ac:dyDescent="0.3">
      <c r="A20" s="5" t="s">
        <v>40</v>
      </c>
      <c r="B20" s="6" t="s">
        <v>41</v>
      </c>
      <c r="C20" s="14" t="s">
        <v>31</v>
      </c>
      <c r="D20" s="8">
        <v>2025</v>
      </c>
      <c r="E20" s="8">
        <v>2027</v>
      </c>
      <c r="F20" s="7">
        <v>2850000</v>
      </c>
      <c r="G20" s="7">
        <v>36900</v>
      </c>
      <c r="H20" s="7">
        <v>1413100</v>
      </c>
      <c r="I20" s="7">
        <v>1400000</v>
      </c>
      <c r="J20" s="9">
        <v>0</v>
      </c>
      <c r="K20" s="9">
        <v>0</v>
      </c>
      <c r="L20" s="7">
        <v>2850000</v>
      </c>
    </row>
    <row r="21" spans="1:15" ht="39.9" customHeight="1" x14ac:dyDescent="0.3">
      <c r="A21" s="5" t="s">
        <v>42</v>
      </c>
      <c r="B21" s="6" t="s">
        <v>43</v>
      </c>
      <c r="C21" s="14" t="s">
        <v>31</v>
      </c>
      <c r="D21" s="8">
        <v>2025</v>
      </c>
      <c r="E21" s="8">
        <v>2027</v>
      </c>
      <c r="F21" s="7">
        <v>5600001</v>
      </c>
      <c r="G21" s="7">
        <v>55351</v>
      </c>
      <c r="H21" s="7">
        <v>2750000</v>
      </c>
      <c r="I21" s="7">
        <v>2794650</v>
      </c>
      <c r="J21" s="9">
        <v>0</v>
      </c>
      <c r="K21" s="9">
        <v>0</v>
      </c>
      <c r="L21" s="7">
        <v>5600001</v>
      </c>
    </row>
    <row r="22" spans="1:15" ht="27" customHeight="1" x14ac:dyDescent="0.3">
      <c r="A22" s="5" t="s">
        <v>44</v>
      </c>
      <c r="B22" s="6" t="s">
        <v>35</v>
      </c>
      <c r="C22" s="14" t="s">
        <v>36</v>
      </c>
      <c r="D22" s="8">
        <v>2025</v>
      </c>
      <c r="E22" s="8">
        <v>2029</v>
      </c>
      <c r="F22" s="7">
        <v>269370</v>
      </c>
      <c r="G22" s="7">
        <v>134685</v>
      </c>
      <c r="H22" s="7">
        <v>134685</v>
      </c>
      <c r="I22" s="7">
        <v>0</v>
      </c>
      <c r="J22" s="7">
        <v>0</v>
      </c>
      <c r="K22" s="7">
        <v>0</v>
      </c>
      <c r="L22" s="7">
        <v>269370</v>
      </c>
    </row>
    <row r="23" spans="1:15" ht="39.9" customHeight="1" x14ac:dyDescent="0.3">
      <c r="A23" s="5" t="s">
        <v>45</v>
      </c>
      <c r="B23" s="6" t="s">
        <v>27</v>
      </c>
      <c r="C23" s="14" t="s">
        <v>28</v>
      </c>
      <c r="D23" s="8">
        <v>2024</v>
      </c>
      <c r="E23" s="8">
        <v>2027</v>
      </c>
      <c r="F23" s="7">
        <v>40000</v>
      </c>
      <c r="G23" s="7">
        <v>40000</v>
      </c>
      <c r="H23" s="7">
        <v>0</v>
      </c>
      <c r="I23" s="7">
        <v>0</v>
      </c>
      <c r="J23" s="9">
        <v>0</v>
      </c>
      <c r="K23" s="9">
        <v>0</v>
      </c>
      <c r="L23" s="7">
        <v>40000</v>
      </c>
    </row>
    <row r="24" spans="1:15" ht="39.9" customHeight="1" x14ac:dyDescent="0.3">
      <c r="A24" s="5" t="s">
        <v>46</v>
      </c>
      <c r="B24" s="6" t="s">
        <v>47</v>
      </c>
      <c r="C24" s="14" t="s">
        <v>31</v>
      </c>
      <c r="D24" s="8">
        <v>2025</v>
      </c>
      <c r="E24" s="8">
        <v>2026</v>
      </c>
      <c r="F24" s="7">
        <v>750000</v>
      </c>
      <c r="G24" s="7">
        <v>25000</v>
      </c>
      <c r="H24" s="7">
        <v>725000</v>
      </c>
      <c r="I24" s="9">
        <v>0</v>
      </c>
      <c r="J24" s="9">
        <v>0</v>
      </c>
      <c r="K24" s="9">
        <v>0</v>
      </c>
      <c r="L24" s="7">
        <v>750000</v>
      </c>
    </row>
    <row r="25" spans="1:15" ht="39.9" customHeight="1" x14ac:dyDescent="0.3">
      <c r="A25" s="5" t="s">
        <v>48</v>
      </c>
      <c r="B25" s="6" t="s">
        <v>30</v>
      </c>
      <c r="C25" s="14" t="s">
        <v>31</v>
      </c>
      <c r="D25" s="8">
        <v>2025</v>
      </c>
      <c r="E25" s="8">
        <v>2029</v>
      </c>
      <c r="F25" s="7">
        <v>280751</v>
      </c>
      <c r="G25" s="7">
        <v>30751</v>
      </c>
      <c r="H25" s="7">
        <v>250000</v>
      </c>
      <c r="I25" s="7">
        <v>0</v>
      </c>
      <c r="J25" s="7">
        <v>0</v>
      </c>
      <c r="K25" s="7">
        <v>0</v>
      </c>
      <c r="L25" s="7">
        <v>280751</v>
      </c>
    </row>
    <row r="26" spans="1:15" ht="39.9" customHeight="1" x14ac:dyDescent="0.3">
      <c r="A26" s="5" t="s">
        <v>49</v>
      </c>
      <c r="B26" s="6" t="s">
        <v>33</v>
      </c>
      <c r="C26" s="14" t="s">
        <v>31</v>
      </c>
      <c r="D26" s="8">
        <v>2025</v>
      </c>
      <c r="E26" s="8">
        <v>2028</v>
      </c>
      <c r="F26" s="7">
        <v>477158</v>
      </c>
      <c r="G26" s="7">
        <v>0</v>
      </c>
      <c r="H26" s="7">
        <v>477158</v>
      </c>
      <c r="I26" s="7">
        <v>0</v>
      </c>
      <c r="J26" s="7">
        <v>0</v>
      </c>
      <c r="K26" s="9">
        <v>0</v>
      </c>
      <c r="L26" s="7">
        <v>477158</v>
      </c>
    </row>
    <row r="27" spans="1:15" ht="27" customHeight="1" x14ac:dyDescent="0.3">
      <c r="A27" s="1" t="s">
        <v>50</v>
      </c>
      <c r="B27" s="2" t="s">
        <v>51</v>
      </c>
      <c r="C27" s="13"/>
      <c r="D27" s="4"/>
      <c r="E27" s="4"/>
      <c r="F27" s="3">
        <f>IF(ISNUMBER(VLOOKUP("1.2.1",A7:L38,6,FALSE)),ROUND(VLOOKUP("1.2.1",A7:L38,6,FALSE),4),0) + IF(ISNUMBER(VLOOKUP("1.2.2",A7:L38,6,FALSE)),ROUND(VLOOKUP("1.2.2",A7:L38,6,FALSE),4),0)</f>
        <v>0</v>
      </c>
      <c r="G27" s="3">
        <f>IF(ISNUMBER(VLOOKUP("1.2.1",A7:L38,7,FALSE)),ROUND(VLOOKUP("1.2.1",A7:L38,7,FALSE),4),0) + IF(ISNUMBER(VLOOKUP("1.2.2",A7:L38,7,FALSE)),ROUND(VLOOKUP("1.2.2",A7:L38,7,FALSE),4),0)</f>
        <v>0</v>
      </c>
      <c r="H27" s="3">
        <f>IF(ISNUMBER(VLOOKUP("1.2.1",A7:L38,8,FALSE)),ROUND(VLOOKUP("1.2.1",A7:L38,8,FALSE),4),0) + IF(ISNUMBER(VLOOKUP("1.2.2",A7:L38,8,FALSE)),ROUND(VLOOKUP("1.2.2",A7:L38,8,FALSE),4),0)</f>
        <v>0</v>
      </c>
      <c r="I27" s="3">
        <f>IF(ISNUMBER(VLOOKUP("1.2.1",A7:L38,9,FALSE)),ROUND(VLOOKUP("1.2.1",A7:L38,9,FALSE),4),0) + IF(ISNUMBER(VLOOKUP("1.2.2",A7:L38,9,FALSE)),ROUND(VLOOKUP("1.2.2",A7:L38,9,FALSE),4),0)</f>
        <v>0</v>
      </c>
      <c r="J27" s="3">
        <f>IF(ISNUMBER(VLOOKUP("1.2.1",A7:L38,10,FALSE)),ROUND(VLOOKUP("1.2.1",A7:L38,10,FALSE),4),0) + IF(ISNUMBER(VLOOKUP("1.2.2",A7:L38,10,FALSE)),ROUND(VLOOKUP("1.2.2",A7:L38,10,FALSE),4),0)</f>
        <v>0</v>
      </c>
      <c r="K27" s="3">
        <f>IF(ISNUMBER(VLOOKUP("1.2.1",A7:L38,11,FALSE)),ROUND(VLOOKUP("1.2.1",A7:L38,11,FALSE),4),0) + IF(ISNUMBER(VLOOKUP("1.2.2",A7:L38,11,FALSE)),ROUND(VLOOKUP("1.2.2",A7:L38,11,FALSE),4),0)</f>
        <v>0</v>
      </c>
      <c r="L27" s="3">
        <f>IF(ISNUMBER(VLOOKUP("1.2.1",A7:L38,12,FALSE)),ROUND(VLOOKUP("1.2.1",A7:L38,12,FALSE),4),0) + IF(ISNUMBER(VLOOKUP("1.2.2",A7:L38,12,FALSE)),ROUND(VLOOKUP("1.2.2",A7:L38,12,FALSE),4),0)</f>
        <v>0</v>
      </c>
    </row>
    <row r="28" spans="1:15" ht="14.25" customHeight="1" x14ac:dyDescent="0.3">
      <c r="A28" s="1" t="s">
        <v>52</v>
      </c>
      <c r="B28" s="2" t="s">
        <v>15</v>
      </c>
      <c r="C28" s="13"/>
      <c r="D28" s="4"/>
      <c r="E28" s="4"/>
      <c r="F28" s="3">
        <f>SUMIF(A29:A38, "1.2.1.*", F29:F38)</f>
        <v>0</v>
      </c>
      <c r="G28" s="3">
        <f>SUMIF(A29:A38, "1.2.1.*", G29:G38)</f>
        <v>0</v>
      </c>
      <c r="H28" s="3">
        <f>SUMIF(A29:A38, "1.2.1.*", H29:H38)</f>
        <v>0</v>
      </c>
      <c r="I28" s="3">
        <f>SUMIF(A29:A38, "1.2.1.*", I29:I38)</f>
        <v>0</v>
      </c>
      <c r="J28" s="3">
        <f>SUMIF(A29:A38, "1.2.1.*", J29:J38)</f>
        <v>0</v>
      </c>
      <c r="K28" s="3">
        <f>SUMIF(A29:A38, "1.2.1.*", K29:K38)</f>
        <v>0</v>
      </c>
      <c r="L28" s="3">
        <f>SUMIF(A29:A38, "1.2.1.*", L29:L38)</f>
        <v>0</v>
      </c>
    </row>
    <row r="29" spans="1:15" ht="14.25" customHeight="1" x14ac:dyDescent="0.3">
      <c r="A29" s="1" t="s">
        <v>53</v>
      </c>
      <c r="B29" s="2" t="s">
        <v>17</v>
      </c>
      <c r="C29" s="13"/>
      <c r="D29" s="4"/>
      <c r="E29" s="4"/>
      <c r="F29" s="3">
        <f>SUMIF(A30:A38, "1.2.2.*", F30:F38)</f>
        <v>0</v>
      </c>
      <c r="G29" s="3">
        <f>SUMIF(A30:A38, "1.2.2.*", G30:G38)</f>
        <v>0</v>
      </c>
      <c r="H29" s="3">
        <f>SUMIF(A30:A38, "1.2.2.*", H30:H38)</f>
        <v>0</v>
      </c>
      <c r="I29" s="3">
        <f>SUMIF(A30:A38, "1.2.2.*", I30:I38)</f>
        <v>0</v>
      </c>
      <c r="J29" s="3">
        <f>SUMIF(A30:A38, "1.2.2.*", J30:J38)</f>
        <v>0</v>
      </c>
      <c r="K29" s="3">
        <f>SUMIF(A30:A38, "1.2.2.*", K30:K38)</f>
        <v>0</v>
      </c>
      <c r="L29" s="3">
        <f>SUMIF(A30:A38, "1.2.2.*", L30:L38)</f>
        <v>0</v>
      </c>
    </row>
    <row r="30" spans="1:15" ht="27" customHeight="1" x14ac:dyDescent="0.3">
      <c r="A30" s="1" t="s">
        <v>54</v>
      </c>
      <c r="B30" s="2" t="s">
        <v>55</v>
      </c>
      <c r="C30" s="13"/>
      <c r="D30" s="4"/>
      <c r="E30" s="4"/>
      <c r="F30" s="3">
        <f>IF(ISNUMBER(VLOOKUP("1.3.1",A7:L38,6,FALSE)),ROUND(VLOOKUP("1.3.1",A7:L38,6,FALSE),4),0) + IF(ISNUMBER(VLOOKUP("1.3.2",A7:L38,6,FALSE)),ROUND(VLOOKUP("1.3.2",A7:L38,6,FALSE),4),0)</f>
        <v>18332580</v>
      </c>
      <c r="G30" s="3">
        <f>IF(ISNUMBER(VLOOKUP("1.3.1",A7:L38,7,FALSE)),ROUND(VLOOKUP("1.3.1",A7:L38,7,FALSE),4),0) + IF(ISNUMBER(VLOOKUP("1.3.2",A7:L38,7,FALSE)),ROUND(VLOOKUP("1.3.2",A7:L38,7,FALSE),4),0)</f>
        <v>14766944</v>
      </c>
      <c r="H30" s="3">
        <f>IF(ISNUMBER(VLOOKUP("1.3.1",A7:L38,8,FALSE)),ROUND(VLOOKUP("1.3.1",A7:L38,8,FALSE),4),0) + IF(ISNUMBER(VLOOKUP("1.3.2",A7:L38,8,FALSE)),ROUND(VLOOKUP("1.3.2",A7:L38,8,FALSE),4),0)</f>
        <v>189420</v>
      </c>
      <c r="I30" s="3">
        <f>IF(ISNUMBER(VLOOKUP("1.3.1",A7:L38,9,FALSE)),ROUND(VLOOKUP("1.3.1",A7:L38,9,FALSE),4),0) + IF(ISNUMBER(VLOOKUP("1.3.2",A7:L38,9,FALSE)),ROUND(VLOOKUP("1.3.2",A7:L38,9,FALSE),4),0)</f>
        <v>0</v>
      </c>
      <c r="J30" s="3">
        <f>IF(ISNUMBER(VLOOKUP("1.3.1",A7:L38,10,FALSE)),ROUND(VLOOKUP("1.3.1",A7:L38,10,FALSE),4),0) + IF(ISNUMBER(VLOOKUP("1.3.2",A7:L38,10,FALSE)),ROUND(VLOOKUP("1.3.2",A7:L38,10,FALSE),4),0)</f>
        <v>0</v>
      </c>
      <c r="K30" s="3">
        <f>IF(ISNUMBER(VLOOKUP("1.3.1",A7:L38,11,FALSE)),ROUND(VLOOKUP("1.3.1",A7:L38,11,FALSE),4),0) + IF(ISNUMBER(VLOOKUP("1.3.2",A7:L38,11,FALSE)),ROUND(VLOOKUP("1.3.2",A7:L38,11,FALSE),4),0)</f>
        <v>0</v>
      </c>
      <c r="L30" s="3">
        <f>IF(ISNUMBER(VLOOKUP("1.3.1",A7:L38,12,FALSE)),ROUND(VLOOKUP("1.3.1",A7:L38,12,FALSE),4),0) + IF(ISNUMBER(VLOOKUP("1.3.2",A7:L38,12,FALSE)),ROUND(VLOOKUP("1.3.2",A7:L38,12,FALSE),4),0)</f>
        <v>14956364</v>
      </c>
      <c r="O30" s="20"/>
    </row>
    <row r="31" spans="1:15" ht="14.25" customHeight="1" x14ac:dyDescent="0.3">
      <c r="A31" s="1" t="s">
        <v>56</v>
      </c>
      <c r="B31" s="2" t="s">
        <v>15</v>
      </c>
      <c r="C31" s="13"/>
      <c r="D31" s="4"/>
      <c r="E31" s="4"/>
      <c r="F31" s="3">
        <f>SUMIF(A32:A38, "1.3.1.*", F32:F38)</f>
        <v>798138</v>
      </c>
      <c r="G31" s="3">
        <f>SUMIF(A32:A38, "1.3.1.*", G32:G38)</f>
        <v>189420</v>
      </c>
      <c r="H31" s="3">
        <f>SUMIF(A32:A38, "1.3.1.*", H32:H38)</f>
        <v>189420</v>
      </c>
      <c r="I31" s="3">
        <f>SUMIF(A32:A38, "1.3.1.*", I32:I38)</f>
        <v>0</v>
      </c>
      <c r="J31" s="3">
        <f>SUMIF(A32:A38, "1.3.1.*", J32:J38)</f>
        <v>0</v>
      </c>
      <c r="K31" s="3">
        <f>SUMIF(A32:A38, "1.3.1.*", K32:K38)</f>
        <v>0</v>
      </c>
      <c r="L31" s="3">
        <f>SUMIF(A32:A38, "1.3.1.*", L32:L38)</f>
        <v>378840</v>
      </c>
    </row>
    <row r="32" spans="1:15" ht="65.7" customHeight="1" x14ac:dyDescent="0.3">
      <c r="A32" s="5" t="s">
        <v>57</v>
      </c>
      <c r="B32" s="6" t="s">
        <v>58</v>
      </c>
      <c r="C32" s="14" t="s">
        <v>59</v>
      </c>
      <c r="D32" s="8">
        <v>2022</v>
      </c>
      <c r="E32" s="8">
        <v>2026</v>
      </c>
      <c r="F32" s="7">
        <v>798138</v>
      </c>
      <c r="G32" s="7">
        <v>189420</v>
      </c>
      <c r="H32" s="7">
        <v>189420</v>
      </c>
      <c r="I32" s="9">
        <v>0</v>
      </c>
      <c r="J32" s="9">
        <v>0</v>
      </c>
      <c r="K32" s="9">
        <v>0</v>
      </c>
      <c r="L32" s="7">
        <v>378840</v>
      </c>
    </row>
    <row r="33" spans="1:12" ht="14.25" customHeight="1" x14ac:dyDescent="0.3">
      <c r="A33" s="1" t="s">
        <v>60</v>
      </c>
      <c r="B33" s="2" t="s">
        <v>17</v>
      </c>
      <c r="C33" s="13"/>
      <c r="D33" s="4"/>
      <c r="E33" s="4"/>
      <c r="F33" s="3">
        <f>SUMIF(A34:A38, "1.3.2.*", F34:F38)</f>
        <v>17534442</v>
      </c>
      <c r="G33" s="3">
        <f>SUMIF(A34:A38, "1.3.2.*", G34:G38)</f>
        <v>14577524</v>
      </c>
      <c r="H33" s="3">
        <f>SUMIF(A34:A38, "1.3.2.*", H34:H38)</f>
        <v>0</v>
      </c>
      <c r="I33" s="3">
        <f>SUMIF(A34:A38, "1.3.2.*", I34:I38)</f>
        <v>0</v>
      </c>
      <c r="J33" s="3">
        <f>SUMIF(A34:A38, "1.3.2.*", J34:J38)</f>
        <v>0</v>
      </c>
      <c r="K33" s="3">
        <f>SUMIF(A34:A38, "1.3.2.*", K34:K38)</f>
        <v>0</v>
      </c>
      <c r="L33" s="3">
        <f>SUMIF(A34:A38, "1.3.2.*", L34:L38)</f>
        <v>14577524</v>
      </c>
    </row>
    <row r="34" spans="1:12" ht="39.9" customHeight="1" x14ac:dyDescent="0.3">
      <c r="A34" s="5" t="s">
        <v>61</v>
      </c>
      <c r="B34" s="6" t="s">
        <v>62</v>
      </c>
      <c r="C34" s="14" t="s">
        <v>31</v>
      </c>
      <c r="D34" s="8">
        <v>2024</v>
      </c>
      <c r="E34" s="8">
        <v>2025</v>
      </c>
      <c r="F34" s="7">
        <v>3429650</v>
      </c>
      <c r="G34" s="7">
        <v>2743720</v>
      </c>
      <c r="H34" s="9">
        <v>0</v>
      </c>
      <c r="I34" s="9">
        <v>0</v>
      </c>
      <c r="J34" s="9">
        <v>0</v>
      </c>
      <c r="K34" s="9">
        <v>0</v>
      </c>
      <c r="L34" s="7">
        <v>2743720</v>
      </c>
    </row>
    <row r="35" spans="1:12" ht="39.9" customHeight="1" x14ac:dyDescent="0.3">
      <c r="A35" s="5" t="s">
        <v>63</v>
      </c>
      <c r="B35" s="6" t="s">
        <v>64</v>
      </c>
      <c r="C35" s="14" t="s">
        <v>31</v>
      </c>
      <c r="D35" s="8">
        <v>2023</v>
      </c>
      <c r="E35" s="8">
        <v>2025</v>
      </c>
      <c r="F35" s="7">
        <v>5617000</v>
      </c>
      <c r="G35" s="7">
        <v>4308000</v>
      </c>
      <c r="H35" s="9">
        <v>0</v>
      </c>
      <c r="I35" s="9">
        <v>0</v>
      </c>
      <c r="J35" s="9">
        <v>0</v>
      </c>
      <c r="K35" s="9">
        <v>0</v>
      </c>
      <c r="L35" s="7">
        <v>4308000</v>
      </c>
    </row>
    <row r="36" spans="1:12" ht="39.9" customHeight="1" x14ac:dyDescent="0.3">
      <c r="A36" s="5" t="s">
        <v>65</v>
      </c>
      <c r="B36" s="6" t="s">
        <v>66</v>
      </c>
      <c r="C36" s="14" t="s">
        <v>31</v>
      </c>
      <c r="D36" s="8">
        <v>2023</v>
      </c>
      <c r="E36" s="8">
        <v>2025</v>
      </c>
      <c r="F36" s="7">
        <v>400000</v>
      </c>
      <c r="G36" s="7">
        <v>392000</v>
      </c>
      <c r="H36" s="9">
        <v>0</v>
      </c>
      <c r="I36" s="9">
        <v>0</v>
      </c>
      <c r="J36" s="9">
        <v>0</v>
      </c>
      <c r="K36" s="9">
        <v>0</v>
      </c>
      <c r="L36" s="7">
        <v>392000</v>
      </c>
    </row>
    <row r="37" spans="1:12" ht="39.9" customHeight="1" x14ac:dyDescent="0.3">
      <c r="A37" s="5" t="s">
        <v>67</v>
      </c>
      <c r="B37" s="6" t="s">
        <v>68</v>
      </c>
      <c r="C37" s="14" t="s">
        <v>31</v>
      </c>
      <c r="D37" s="8">
        <v>2023</v>
      </c>
      <c r="E37" s="8">
        <v>2025</v>
      </c>
      <c r="F37" s="7">
        <f>7851203+236589</f>
        <v>8087792</v>
      </c>
      <c r="G37" s="7">
        <f>6897215+236589</f>
        <v>7133804</v>
      </c>
      <c r="H37" s="9">
        <v>0</v>
      </c>
      <c r="I37" s="9">
        <v>0</v>
      </c>
      <c r="J37" s="9">
        <v>0</v>
      </c>
      <c r="K37" s="9">
        <v>0</v>
      </c>
      <c r="L37" s="7">
        <f>6897215+236589</f>
        <v>7133804</v>
      </c>
    </row>
  </sheetData>
  <conditionalFormatting sqref="B11:L11">
    <cfRule type="beginsWith" dxfId="9" priority="1" operator="beginsWith" text="Tak">
      <formula>LEFT(B11,LEN("Tak"))="Tak"</formula>
    </cfRule>
    <cfRule type="beginsWith" dxfId="8" priority="2" operator="beginsWith" text="Nie">
      <formula>LEFT(B11,LEN("Nie"))="Nie"</formula>
    </cfRule>
  </conditionalFormatting>
  <conditionalFormatting sqref="B18:L18">
    <cfRule type="beginsWith" dxfId="7" priority="3" operator="beginsWith" text="Tak">
      <formula>LEFT(B18,LEN("Tak"))="Tak"</formula>
    </cfRule>
    <cfRule type="beginsWith" dxfId="6" priority="4" operator="beginsWith" text="Nie">
      <formula>LEFT(B18,LEN("Nie"))="Nie"</formula>
    </cfRule>
  </conditionalFormatting>
  <conditionalFormatting sqref="B28:L29">
    <cfRule type="beginsWith" dxfId="5" priority="5" operator="beginsWith" text="Tak">
      <formula>LEFT(B28,LEN("Tak"))="Tak"</formula>
    </cfRule>
    <cfRule type="beginsWith" dxfId="4" priority="6" operator="beginsWith" text="Nie">
      <formula>LEFT(B28,LEN("Nie"))="Nie"</formula>
    </cfRule>
  </conditionalFormatting>
  <conditionalFormatting sqref="B31:L31">
    <cfRule type="beginsWith" dxfId="3" priority="9" operator="beginsWith" text="Tak">
      <formula>LEFT(B31,LEN("Tak"))="Tak"</formula>
    </cfRule>
    <cfRule type="beginsWith" dxfId="2" priority="10" operator="beginsWith" text="Nie">
      <formula>LEFT(B31,LEN("Nie"))="Nie"</formula>
    </cfRule>
  </conditionalFormatting>
  <conditionalFormatting sqref="B33:L33">
    <cfRule type="beginsWith" dxfId="1" priority="11" operator="beginsWith" text="Tak">
      <formula>LEFT(B33,LEN("Tak"))="Tak"</formula>
    </cfRule>
    <cfRule type="beginsWith" dxfId="0" priority="12" operator="beginsWith" text="Nie">
      <formula>LEFT(B33,LEN("Nie"))="Nie"</formula>
    </cfRule>
  </conditionalFormatting>
  <pageMargins left="0.51181102362204722" right="0.51181102362204722" top="0.55118110236220474" bottom="0.55118110236220474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WPF Asystent - Załącznik 2</dc:subject>
  <dc:creator>http://www.publink.com/wpf</dc:creator>
  <cp:keywords>wpf, wieloletnia prognoza finansowa, wpf asystent</cp:keywords>
  <cp:lastModifiedBy>Marta Kozik</cp:lastModifiedBy>
  <cp:lastPrinted>2025-09-22T09:45:26Z</cp:lastPrinted>
  <dcterms:modified xsi:type="dcterms:W3CDTF">2025-09-22T09:45:27Z</dcterms:modified>
</cp:coreProperties>
</file>