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.Buniak\Desktop\WPF 2026_2032\WPF 2026_2032\"/>
    </mc:Choice>
  </mc:AlternateContent>
  <xr:revisionPtr revIDLastSave="0" documentId="13_ncr:1_{8EBD024A-9DE0-4DFD-B736-A1C0D9EB19C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Załącznik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104" i="1" l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C104" i="1"/>
  <c r="Q96" i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C96" i="1"/>
  <c r="Q88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C88" i="1"/>
  <c r="J70" i="1"/>
  <c r="I70" i="1"/>
  <c r="H70" i="1"/>
  <c r="G70" i="1"/>
  <c r="F70" i="1"/>
  <c r="E70" i="1"/>
  <c r="D70" i="1"/>
  <c r="C70" i="1"/>
  <c r="J69" i="1"/>
  <c r="I69" i="1"/>
  <c r="H69" i="1"/>
  <c r="G69" i="1"/>
  <c r="F69" i="1"/>
  <c r="E69" i="1"/>
  <c r="D69" i="1"/>
  <c r="C69" i="1"/>
  <c r="Q53" i="1"/>
  <c r="P53" i="1"/>
  <c r="P50" i="1" s="1"/>
  <c r="O53" i="1"/>
  <c r="O50" i="1" s="1"/>
  <c r="N53" i="1"/>
  <c r="N50" i="1" s="1"/>
  <c r="M53" i="1"/>
  <c r="M50" i="1" s="1"/>
  <c r="L53" i="1"/>
  <c r="K53" i="1"/>
  <c r="K50" i="1" s="1"/>
  <c r="J53" i="1"/>
  <c r="J50" i="1" s="1"/>
  <c r="I53" i="1"/>
  <c r="I50" i="1" s="1"/>
  <c r="H53" i="1"/>
  <c r="H50" i="1" s="1"/>
  <c r="G53" i="1"/>
  <c r="G50" i="1" s="1"/>
  <c r="G66" i="1" s="1"/>
  <c r="F53" i="1"/>
  <c r="E53" i="1"/>
  <c r="D53" i="1"/>
  <c r="D50" i="1" s="1"/>
  <c r="C53" i="1"/>
  <c r="C50" i="1" s="1"/>
  <c r="Q50" i="1"/>
  <c r="L50" i="1"/>
  <c r="F50" i="1"/>
  <c r="E50" i="1"/>
  <c r="Q48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C48" i="1"/>
  <c r="Q37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C37" i="1"/>
  <c r="Q31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C31" i="1"/>
  <c r="Q21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C21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C16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C8" i="1"/>
  <c r="I20" i="1" l="1"/>
  <c r="M7" i="1"/>
  <c r="C20" i="1"/>
  <c r="O20" i="1"/>
  <c r="Q7" i="1"/>
  <c r="D20" i="1"/>
  <c r="J20" i="1"/>
  <c r="P20" i="1"/>
  <c r="K7" i="1"/>
  <c r="F67" i="1"/>
  <c r="L67" i="1"/>
  <c r="C66" i="1"/>
  <c r="C72" i="1" s="1"/>
  <c r="I66" i="1"/>
  <c r="O66" i="1"/>
  <c r="E20" i="1"/>
  <c r="Q20" i="1"/>
  <c r="Q35" i="1" s="1"/>
  <c r="D66" i="1"/>
  <c r="D71" i="1" s="1"/>
  <c r="J66" i="1"/>
  <c r="J71" i="1" s="1"/>
  <c r="P66" i="1"/>
  <c r="K20" i="1"/>
  <c r="H20" i="1"/>
  <c r="N20" i="1"/>
  <c r="G68" i="1"/>
  <c r="M68" i="1"/>
  <c r="H67" i="1"/>
  <c r="N67" i="1"/>
  <c r="F62" i="1"/>
  <c r="L62" i="1"/>
  <c r="K66" i="1"/>
  <c r="E7" i="1"/>
  <c r="E35" i="1" s="1"/>
  <c r="C68" i="1"/>
  <c r="I68" i="1"/>
  <c r="O68" i="1"/>
  <c r="G20" i="1"/>
  <c r="M20" i="1"/>
  <c r="L66" i="1"/>
  <c r="G67" i="1"/>
  <c r="F66" i="1"/>
  <c r="F71" i="1" s="1"/>
  <c r="F7" i="1"/>
  <c r="F73" i="1" s="1"/>
  <c r="G7" i="1"/>
  <c r="G35" i="1" s="1"/>
  <c r="D67" i="1"/>
  <c r="J67" i="1"/>
  <c r="P67" i="1"/>
  <c r="M66" i="1"/>
  <c r="M67" i="1"/>
  <c r="L7" i="1"/>
  <c r="L73" i="1" s="1"/>
  <c r="E68" i="1"/>
  <c r="K68" i="1"/>
  <c r="Q68" i="1"/>
  <c r="E66" i="1"/>
  <c r="E72" i="1" s="1"/>
  <c r="Q66" i="1"/>
  <c r="H66" i="1"/>
  <c r="H71" i="1" s="1"/>
  <c r="N66" i="1"/>
  <c r="I72" i="1"/>
  <c r="I71" i="1"/>
  <c r="D72" i="1"/>
  <c r="G72" i="1"/>
  <c r="G71" i="1"/>
  <c r="J68" i="1"/>
  <c r="P68" i="1"/>
  <c r="C7" i="1"/>
  <c r="I7" i="1"/>
  <c r="O7" i="1"/>
  <c r="F20" i="1"/>
  <c r="L20" i="1"/>
  <c r="C62" i="1"/>
  <c r="I62" i="1"/>
  <c r="O62" i="1"/>
  <c r="F63" i="1"/>
  <c r="F64" i="1" s="1"/>
  <c r="L63" i="1"/>
  <c r="L64" i="1" s="1"/>
  <c r="C67" i="1"/>
  <c r="I67" i="1"/>
  <c r="O67" i="1"/>
  <c r="F68" i="1"/>
  <c r="L68" i="1"/>
  <c r="E67" i="1"/>
  <c r="M35" i="1"/>
  <c r="G62" i="1"/>
  <c r="M62" i="1"/>
  <c r="D63" i="1"/>
  <c r="D64" i="1" s="1"/>
  <c r="J63" i="1"/>
  <c r="J64" i="1" s="1"/>
  <c r="P63" i="1"/>
  <c r="P64" i="1" s="1"/>
  <c r="D68" i="1"/>
  <c r="M73" i="1"/>
  <c r="D7" i="1"/>
  <c r="J7" i="1"/>
  <c r="P7" i="1"/>
  <c r="D62" i="1"/>
  <c r="J62" i="1"/>
  <c r="P62" i="1"/>
  <c r="G63" i="1"/>
  <c r="G64" i="1" s="1"/>
  <c r="M63" i="1"/>
  <c r="M64" i="1" s="1"/>
  <c r="Q67" i="1"/>
  <c r="H68" i="1"/>
  <c r="N68" i="1"/>
  <c r="K73" i="1"/>
  <c r="Q73" i="1"/>
  <c r="E62" i="1"/>
  <c r="K67" i="1"/>
  <c r="C63" i="1"/>
  <c r="C64" i="1" s="1"/>
  <c r="I63" i="1"/>
  <c r="I64" i="1" s="1"/>
  <c r="O63" i="1"/>
  <c r="O64" i="1" s="1"/>
  <c r="K62" i="1"/>
  <c r="Q62" i="1"/>
  <c r="H63" i="1"/>
  <c r="H64" i="1" s="1"/>
  <c r="N63" i="1"/>
  <c r="N64" i="1" s="1"/>
  <c r="H7" i="1"/>
  <c r="N7" i="1"/>
  <c r="H62" i="1"/>
  <c r="N62" i="1"/>
  <c r="E63" i="1"/>
  <c r="E64" i="1" s="1"/>
  <c r="K63" i="1"/>
  <c r="K64" i="1" s="1"/>
  <c r="Q63" i="1"/>
  <c r="Q64" i="1" s="1"/>
  <c r="C71" i="1" l="1"/>
  <c r="E73" i="1"/>
  <c r="J72" i="1"/>
  <c r="K35" i="1"/>
  <c r="Q69" i="1"/>
  <c r="Q71" i="1" s="1"/>
  <c r="E71" i="1"/>
  <c r="F72" i="1"/>
  <c r="L35" i="1"/>
  <c r="H72" i="1"/>
  <c r="G73" i="1"/>
  <c r="F35" i="1"/>
  <c r="O70" i="1"/>
  <c r="O72" i="1" s="1"/>
  <c r="K70" i="1"/>
  <c r="K72" i="1" s="1"/>
  <c r="L36" i="1"/>
  <c r="J73" i="1"/>
  <c r="J35" i="1"/>
  <c r="D73" i="1"/>
  <c r="D35" i="1"/>
  <c r="Q70" i="1"/>
  <c r="Q72" i="1" s="1"/>
  <c r="O69" i="1"/>
  <c r="O71" i="1" s="1"/>
  <c r="O73" i="1"/>
  <c r="O35" i="1"/>
  <c r="L69" i="1"/>
  <c r="L71" i="1" s="1"/>
  <c r="L70" i="1"/>
  <c r="L72" i="1" s="1"/>
  <c r="M36" i="1"/>
  <c r="N69" i="1"/>
  <c r="N71" i="1" s="1"/>
  <c r="N70" i="1"/>
  <c r="N72" i="1" s="1"/>
  <c r="I73" i="1"/>
  <c r="I35" i="1"/>
  <c r="E36" i="1"/>
  <c r="M69" i="1"/>
  <c r="M71" i="1" s="1"/>
  <c r="N73" i="1"/>
  <c r="N35" i="1"/>
  <c r="Q36" i="1"/>
  <c r="G36" i="1"/>
  <c r="C73" i="1"/>
  <c r="C35" i="1"/>
  <c r="M70" i="1"/>
  <c r="M72" i="1" s="1"/>
  <c r="P70" i="1"/>
  <c r="P72" i="1" s="1"/>
  <c r="P69" i="1"/>
  <c r="P71" i="1" s="1"/>
  <c r="H73" i="1"/>
  <c r="H35" i="1"/>
  <c r="K36" i="1"/>
  <c r="P73" i="1"/>
  <c r="P35" i="1"/>
  <c r="K69" i="1"/>
  <c r="K71" i="1" s="1"/>
  <c r="F36" i="1" l="1"/>
  <c r="C36" i="1"/>
  <c r="P36" i="1"/>
  <c r="H36" i="1"/>
  <c r="I36" i="1"/>
  <c r="N36" i="1"/>
  <c r="J36" i="1"/>
  <c r="D36" i="1"/>
  <c r="O36" i="1"/>
</calcChain>
</file>

<file path=xl/sharedStrings.xml><?xml version="1.0" encoding="utf-8"?>
<sst xmlns="http://schemas.openxmlformats.org/spreadsheetml/2006/main" count="281" uniqueCount="213">
  <si>
    <t>Lp.</t>
  </si>
  <si>
    <t>Wyszczególnienie</t>
  </si>
  <si>
    <t>2019</t>
  </si>
  <si>
    <t>2020</t>
  </si>
  <si>
    <t>2021</t>
  </si>
  <si>
    <t>2022</t>
  </si>
  <si>
    <t>2023</t>
  </si>
  <si>
    <t>2024</t>
  </si>
  <si>
    <t>2025 3kw.</t>
  </si>
  <si>
    <t>2025 pw.</t>
  </si>
  <si>
    <t>2026</t>
  </si>
  <si>
    <t>2027</t>
  </si>
  <si>
    <t>2028</t>
  </si>
  <si>
    <t>2029</t>
  </si>
  <si>
    <t>2030</t>
  </si>
  <si>
    <t>2031</t>
  </si>
  <si>
    <t>2032</t>
  </si>
  <si>
    <t>1</t>
  </si>
  <si>
    <t>Dochody ogółem</t>
  </si>
  <si>
    <t>1.1</t>
  </si>
  <si>
    <t>Dochody bieżące, z tego:</t>
  </si>
  <si>
    <t>1.1.1</t>
  </si>
  <si>
    <t>dochody z tytułu udziału we wpływach z podatku dochodowego od osób fizycznych</t>
  </si>
  <si>
    <t>1.1.2</t>
  </si>
  <si>
    <t>dochody z tytułu udziału we wpływach z podatku dochodowego od osób prawnych</t>
  </si>
  <si>
    <t>1.1.3</t>
  </si>
  <si>
    <t>z subwencji ogólnej</t>
  </si>
  <si>
    <t>1.1.4</t>
  </si>
  <si>
    <t>z tytułu dotacji i środków przeznaczonych na cele bieżące</t>
  </si>
  <si>
    <t>1.1.5</t>
  </si>
  <si>
    <t>pozostałe dochody bieżące, w tym:</t>
  </si>
  <si>
    <t>1.1.5.1</t>
  </si>
  <si>
    <t>z podatku od nieruchomości</t>
  </si>
  <si>
    <t>1.1.x</t>
  </si>
  <si>
    <t>Inne</t>
  </si>
  <si>
    <t>1.2</t>
  </si>
  <si>
    <t>Dochody majątkowe, w tym:</t>
  </si>
  <si>
    <t>1.2.1</t>
  </si>
  <si>
    <t>ze sprzedaży majątku</t>
  </si>
  <si>
    <t>1.2.2</t>
  </si>
  <si>
    <t>z tytułu dotacji oraz środków przeznaczonych na inwestycje</t>
  </si>
  <si>
    <t>1.2.x</t>
  </si>
  <si>
    <t>2</t>
  </si>
  <si>
    <t>Wydatki ogółem</t>
  </si>
  <si>
    <t>2.1</t>
  </si>
  <si>
    <t>Wydatki bieżące, w tym:</t>
  </si>
  <si>
    <t>2.1.1</t>
  </si>
  <si>
    <t>na wynagrodzenia i składki od nich naliczane</t>
  </si>
  <si>
    <t>2.1.2</t>
  </si>
  <si>
    <t>z tytułu poręczeń i gwarancji, w tym:</t>
  </si>
  <si>
    <t>2.1.2.1</t>
  </si>
  <si>
    <t>gwarancje i poręczenia podlegające wyłączeniu z limitu spłaty zobowiązań, o którym mowa w art. 243 ustawy</t>
  </si>
  <si>
    <t>2.1.3</t>
  </si>
  <si>
    <t>wydatki na obsługę długu, w tym:</t>
  </si>
  <si>
    <t>2.1.3.x</t>
  </si>
  <si>
    <t>odsetki i dyskonto</t>
  </si>
  <si>
    <t>2.1.3.1</t>
  </si>
  <si>
    <t>odsetki i dyskonto podlegające wyłączeniu z limitu spłaty zobowiązań, o którym mowa w art. 243 ustawy, w terminie nie dłuższym niż 90 dni po zakończeniu programu, projektu lub zadania i otrzymaniu refundacji z tych środków (bez odsetek i dyskonta od zobowiązań na wkład krajowy)</t>
  </si>
  <si>
    <t>2.1.3.2</t>
  </si>
  <si>
    <t>odsetki i dyskonto podlegające wyłączeniu z limitu spłaty zobowiązań, o którym mowa w art. 243 ustawy, z tytułu zobowiązań zaciągniętych na wkład krajowy</t>
  </si>
  <si>
    <t>2.1.3.3</t>
  </si>
  <si>
    <t>pozostałe odsetki i dyskonto podlegające wyłączeniu z limitu spłaty zobowiązań, o którym mowa w art. 243 ustawy</t>
  </si>
  <si>
    <t>2.1.x</t>
  </si>
  <si>
    <t>2.2</t>
  </si>
  <si>
    <t>Wydatki majątkowe, w tym:</t>
  </si>
  <si>
    <t>2.2.1</t>
  </si>
  <si>
    <t>Inwestycje i zakupy inwestycyjne, o których mowa w art. 236 ust. 4 pkt 1 ustawy, w tym:</t>
  </si>
  <si>
    <t>2.2.1.1</t>
  </si>
  <si>
    <t>wydatki o charakterze dotacyjnym na inwestycje i zakupy inwestycyjne</t>
  </si>
  <si>
    <t>2.2.x</t>
  </si>
  <si>
    <t>3</t>
  </si>
  <si>
    <t>Wynik budżetu</t>
  </si>
  <si>
    <t>3.1</t>
  </si>
  <si>
    <t>Kwota prognozowanej nadwyżki budżetu przeznaczana na spłatę kredytów, pożyczek i wykup papierów wartościowych</t>
  </si>
  <si>
    <t>4</t>
  </si>
  <si>
    <t>Przychody budżetu</t>
  </si>
  <si>
    <t>4.1</t>
  </si>
  <si>
    <t>Kredyty, pożyczki, emisja papierów wartościowych, w tym:</t>
  </si>
  <si>
    <t>4.1.1</t>
  </si>
  <si>
    <t>na pokrycie deficytu budżetu</t>
  </si>
  <si>
    <t>4.2</t>
  </si>
  <si>
    <t>Nadwyżka budżetowa z lat ubiegłych, w tym:</t>
  </si>
  <si>
    <t>4.2.1</t>
  </si>
  <si>
    <t>4.3</t>
  </si>
  <si>
    <t>Wolne środki, o których mowa w art. 217 ust. 2 pkt 6 ustawy, w tym:</t>
  </si>
  <si>
    <t>4.3.1</t>
  </si>
  <si>
    <t>4.4</t>
  </si>
  <si>
    <t>Spłaty udzielonych pożyczek w latach ubiegłych, w tym:</t>
  </si>
  <si>
    <t>4.4.1</t>
  </si>
  <si>
    <t>4.5</t>
  </si>
  <si>
    <t>Inne przychody niezwiązane z zaciągnięciem długu, w tym:</t>
  </si>
  <si>
    <t>4.5.1</t>
  </si>
  <si>
    <t>5</t>
  </si>
  <si>
    <t>Rozchody budżetu</t>
  </si>
  <si>
    <t>5.1</t>
  </si>
  <si>
    <t>Spłaty rat kapitałowych kredytów i pożyczek oraz wykup papierów wartościowych, w tym:</t>
  </si>
  <si>
    <t>5.1.1</t>
  </si>
  <si>
    <t>łączna kwota przypadających na dany rok kwot ustawowych wyłączeń z limitu spłaty zobowiązań, w tym:</t>
  </si>
  <si>
    <t>5.1.1.1</t>
  </si>
  <si>
    <t>kwota przypadających na dany rok kwot wyłączeń określonych w art. 243 ust. 3 ustawy</t>
  </si>
  <si>
    <t>5.1.1.2</t>
  </si>
  <si>
    <t>kwota przypadających na dany rok kwot wyłączeń określonych w art. 243 ust. 3a ustawy</t>
  </si>
  <si>
    <t>5.1.1.3</t>
  </si>
  <si>
    <t>kwota wyłączeń z tytułu wcześniejszej spłaty zobowiązań, określonych w art. 243 ust. 3b ustawy, z tego:</t>
  </si>
  <si>
    <t>5.1.1.3.1</t>
  </si>
  <si>
    <t>środkami nowego zobowiązania</t>
  </si>
  <si>
    <t>5.1.1.3.2</t>
  </si>
  <si>
    <t>wolnymi środkami, o których mowa w art. 217 ust. 2 pkt 6 ustawy</t>
  </si>
  <si>
    <t>5.1.1.3.3</t>
  </si>
  <si>
    <t>innymi środkami</t>
  </si>
  <si>
    <t>5.1.1.4</t>
  </si>
  <si>
    <t>kwota przypadających na dany rok kwot pozostałych ustawowych wyłączeń z limitu spłaty zobowiązań</t>
  </si>
  <si>
    <t>5.2</t>
  </si>
  <si>
    <t>Inne rozchody, niezwiązane ze spłatą długu</t>
  </si>
  <si>
    <t>6</t>
  </si>
  <si>
    <t>Kwota długu, w tym:</t>
  </si>
  <si>
    <t>6.1</t>
  </si>
  <si>
    <t>kwota długu, którego planowana spłata dokona się z wydatków</t>
  </si>
  <si>
    <t>7</t>
  </si>
  <si>
    <t>Relacja zrównoważenia wydatków bieżących, o której mowa w art. 242 ustawy</t>
  </si>
  <si>
    <t/>
  </si>
  <si>
    <t>7.1</t>
  </si>
  <si>
    <t>Różnica między dochodami bieżącymi a wydatkami bieżącymi</t>
  </si>
  <si>
    <t>7.2</t>
  </si>
  <si>
    <t>Różnica między dochodami bieżącymi, skorygowanymi o środki, a wydatkami bieżącymi</t>
  </si>
  <si>
    <t>7.2.x</t>
  </si>
  <si>
    <t>Relacja z art. 242 ust. 1 ustawy o finansach publicznych skorygowana o planowane wydatki bieżące na realizację zadań związanych z pomocom obywatelom Ukrainy oraz organizacją Igrzysk</t>
  </si>
  <si>
    <t>8</t>
  </si>
  <si>
    <t>Wskaźnik spłaty zobowiązań</t>
  </si>
  <si>
    <t>8.1</t>
  </si>
  <si>
    <t>Relacja określona po lewej stronie nierówności we wzorze, o którym mowa w art. 243 ust. 1 ustawy (po uwzględnieniu zobowiązań związku współtworzonego przez jednostkę samorządu terytorialnego oraz po uwzględnieniu ustawowych wyłączeń przypadających na dany rok)</t>
  </si>
  <si>
    <t>8.2</t>
  </si>
  <si>
    <t>Relacja określona po prawej stronie nierówności we wzorze, o którym mowa w art. 243 ust. 1 ustawy, ustalona dla danego roku (wkaźnik jednoroczny)</t>
  </si>
  <si>
    <t>8.2.x</t>
  </si>
  <si>
    <t>Wskaźnik jednoroczny określony po prawej stronie nierówności we wzorze, o którym mowa w art. 243 ust. 1 ustawy, ustalony dla danego roku (wskaźnik jednoroczny)</t>
  </si>
  <si>
    <t>8.3</t>
  </si>
  <si>
    <t>Dopuszczalny limit spłaty zobowiązań określony po prawej stronie nierówności we wzorze, o którym mowa w art. 243 ustawy, po uwzględnieniu ustawowych wyłączeń, obliczony w oparciu o plan 3. kwartału roku poprzedzającego pierwszy rok prognozy (wskaźnik ustalony w oparciu o średnią arytmetyczną z poprzednich lat)</t>
  </si>
  <si>
    <t>8.3.1</t>
  </si>
  <si>
    <t>Dopuszczalny limit spłaty zobowiązań określony po prawej stronie nierówności we wzorze, o którym mowa w art. 243 ustawy, po uwzględnieniu ustawowych wyłączeń, obliczony w oparciu o wykonanie roku poprzedzającego pierwszy rok prognozy (wskaźnik ustalony w oparciu o średnią arytmetyczną z poprzednich lat)</t>
  </si>
  <si>
    <t>8.4</t>
  </si>
  <si>
    <t>Informacja o spełnieniu wskaźnika spłaty zobowiązań określonego w art. 243 ustawy, po uwzględnieniu zobowiązań związku współtworzonego przez jednostkę samorządu terytorialnego oraz po uwzględnieniu ustawowych wyłączeń, obliczonego w oparciu o plan 3 kwartałów roku poprzedzającego rok budżetowy</t>
  </si>
  <si>
    <t>8.4.1</t>
  </si>
  <si>
    <t>Informacja o spełnieniu wskaźnika spłaty zobowiązań określonego w art. 243 ustawy, po uwzględnieniu zobowiązań związku współtworzonego przez jednostkę samorządu terytorialnego oraz po uwzględnieniu ustawowych wyłączeń, obliczonego w oparciu o wykonanie roku poprzedzającego rok budżetowy</t>
  </si>
  <si>
    <t>8.x</t>
  </si>
  <si>
    <t>Relacja łącznej kwoty długu do dochodów ogółem, pomniejszonych o planowane kwoty dotacji i środków o podobnym charakterze oraz powiększone o przychody z tytułów określonych w art. 217 ust. 2 pkt 4-8 uofp, nieprzeznaczone na sfinansowanie deficytu budżetowego</t>
  </si>
  <si>
    <t>9</t>
  </si>
  <si>
    <t>Finansowanie programów, projektów lub zadań realizowanych z udziałem środków, o których mowa w art. 5 ust. 1 pkt 2 i 3 ustawy</t>
  </si>
  <si>
    <t>9.1</t>
  </si>
  <si>
    <t>Dochody bieżące na programy, projekty lub zadania finansowe z udziałem środków, o których mowa w art. 5 ust. 1 pkt 2 i 3 ustawy</t>
  </si>
  <si>
    <t>9.1.1</t>
  </si>
  <si>
    <t>Dotacje i środki o charakterze bieżącym na realizację programu, projektu lub zadania finansowanego z udziałem środków, o których mowa w art. 5 ust. 1 pkt 2 ustawy, w tym:</t>
  </si>
  <si>
    <t>9.1.1.1</t>
  </si>
  <si>
    <t>środki określone w art. 5 ust. 1 pkt 2 ustawy</t>
  </si>
  <si>
    <t>9.2</t>
  </si>
  <si>
    <t>Dochody majątkowe na programy, projekty lub zadania finansowe z udziałem środków, o których mowa w art. 5 ust. 1 pkt 2 i 3 ustawy</t>
  </si>
  <si>
    <t>9.2.1</t>
  </si>
  <si>
    <t>Dochody majątkowe na programy, projekty lub zadania finansowe z udziałem środków, o których mowa w art. 5 ust. 1 pkt 2 ustawy, w tym:</t>
  </si>
  <si>
    <t>9.2.1.1</t>
  </si>
  <si>
    <t>9.3</t>
  </si>
  <si>
    <t>Wydatki bieżące na programy, projekty lub zadania finansowe z udziałem środków, o których mowa w art. 5 ust. 1 pkt 2 i 3 ustawy</t>
  </si>
  <si>
    <t>9.3.1</t>
  </si>
  <si>
    <t>Wydatki bieżące na programy, projekty lub zadania finansowe z udziałem środków, o których mowa w art. 5 ust. 1 pkt 2 ustawy, w tym:</t>
  </si>
  <si>
    <t>9.3.1.1</t>
  </si>
  <si>
    <t>finansowane środkami określonymi w art. 5 ust. 1 pkt 2 ustawy</t>
  </si>
  <si>
    <t>9.4</t>
  </si>
  <si>
    <t>Wydatki majątkowe na programy, projekty lub zadania finansowe z udziałem środków, o których mowa w art. 5 ust. 1 pkt 2 i 3 ustawy</t>
  </si>
  <si>
    <t>9.4.1</t>
  </si>
  <si>
    <t>Wydatki majątkowe na programy, projekty lub zadania finansowe z udziałem środków, o których mowa w art. 5 ust. 1 pkt 2 ustawy, w tym:</t>
  </si>
  <si>
    <t>9.4.1.1</t>
  </si>
  <si>
    <t>10</t>
  </si>
  <si>
    <t>Informacje uzupełniające o wybranych kategoriach finansowych</t>
  </si>
  <si>
    <t>10.1</t>
  </si>
  <si>
    <t>Wydatki objęte limitem, o którym mowa w art. 226 ust. 3 pkt 4 ustawy, z tego:</t>
  </si>
  <si>
    <t>10.1.1</t>
  </si>
  <si>
    <t>bieżące</t>
  </si>
  <si>
    <t>10.1.2</t>
  </si>
  <si>
    <t>majątkowe</t>
  </si>
  <si>
    <t>10.2</t>
  </si>
  <si>
    <t>Wydatki bieżące na pokrycie ujemnego wyniku finansowego samodzielnego publicznego zakładu opieki zdrowotnej</t>
  </si>
  <si>
    <t>10.3</t>
  </si>
  <si>
    <t>Wydatki na spłatę zobowiązań przejmowanych w związku z likwidacją lub przekształceniem samodzielnego publicznego zakładu opieki zdrowotnej</t>
  </si>
  <si>
    <t>10.4</t>
  </si>
  <si>
    <t>Kwota zobowiązań związku współtworzonego przez jednostkę samorządu terytorialnego przypadających do spłaty w danym roku budżetowym, podlegająca doliczeniu zgodnie z art. 244 ustawy</t>
  </si>
  <si>
    <t>10.5</t>
  </si>
  <si>
    <t>Kwota zobowiązań wynikających z przejęcia przez jednostkę samorządu terytorialnego zobowiązań po likwidowanych i przekształcanych samorządowych osobach prawnych</t>
  </si>
  <si>
    <t>10.6</t>
  </si>
  <si>
    <t>Spłaty, o których mowa w poz. 5.1., wynikające wyłącznie z tytułu zobowiązań już zaciągniętych</t>
  </si>
  <si>
    <t>10.7</t>
  </si>
  <si>
    <t>Wydatki zmniejszające dług, w tym:</t>
  </si>
  <si>
    <t>10.7.1</t>
  </si>
  <si>
    <t>spłata zobowiązań wymagalnych z lat poprzednich, innych niż w poz. 10.7.3</t>
  </si>
  <si>
    <t>10.7.2</t>
  </si>
  <si>
    <t>spłata zobowiązań zaliczanych do tytułu dłużnego – kredyt i pożyczka, w tym:</t>
  </si>
  <si>
    <t>10.7.2.1</t>
  </si>
  <si>
    <t>zobowiązań zaciągniętych po dniu 1 stycznia 2019 r.</t>
  </si>
  <si>
    <t>10.7.2.1.1</t>
  </si>
  <si>
    <t>dokonywana w formie wydatku bieżącego</t>
  </si>
  <si>
    <t>10.7.3</t>
  </si>
  <si>
    <t>wypłaty z tytułu wymagalnych poręczeń i gwarancji</t>
  </si>
  <si>
    <t>10.8</t>
  </si>
  <si>
    <t>Kwota wzrostu(+)/spadku(−) kwoty długu wynikająca z operacji niekasowych (m.in. umorzenia, różnice kursowe)</t>
  </si>
  <si>
    <t>10.9</t>
  </si>
  <si>
    <t>Wcześniejsza spłata zobowiązań, wyłączona z limitu spłaty zobowiązań, dokonywana w formie wydatków budżetowych</t>
  </si>
  <si>
    <t>10.10</t>
  </si>
  <si>
    <t>Wykup papierów wartościowych, spłaty rat kredytów i pożyczek wraz z należnymi odsetkami i dyskontem, odpowiednio emitowanych lub zaciągniętych do równowartości kwoty ubytku w wykonanych dochodach jednostki samorządu terytorialnego będącego skutkiem wystąpienia COVID-19</t>
  </si>
  <si>
    <t>10.11</t>
  </si>
  <si>
    <t>Wydatki bieżące podlegające ustawowemu wyłączeniu z limitu spłaty zobowiązań</t>
  </si>
  <si>
    <t>10.11.x</t>
  </si>
  <si>
    <t>Planowane wydatki bieżące podlegające ustawowemu wyłączeniu z limitu spłaty zobowiązań</t>
  </si>
  <si>
    <t>Rady Powiatu Świdwińskiego</t>
  </si>
  <si>
    <t>Nr XIX/92/25 z dnia 18 grudnia 2025 r.</t>
  </si>
  <si>
    <t>WIELOLETNIA PROGNOZA FINANSOWA POWIATU ŚWIDWIŃSKIEGO NA LATA 2026 - 2032</t>
  </si>
  <si>
    <t xml:space="preserve">Załącznik Nr 1 Do Uchwały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</si>
</sst>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Calibri"/>
    </font>
    <font>
      <sz val="8"/>
      <name val="Times New Roman"/>
    </font>
    <font>
      <b/>
      <sz val="8"/>
      <name val="Times New Roman"/>
    </font>
    <font>
      <b/>
      <sz val="10"/>
      <name val="Times New Roman"/>
      <family val="1"/>
      <charset val="238"/>
    </font>
    <font>
      <sz val="11"/>
      <name val="Times New Roman"/>
      <family val="1"/>
      <charset val="238"/>
    </font>
    <font>
      <sz val="11"/>
      <name val="Bookman Old Style"/>
      <family val="1"/>
      <charset val="238"/>
    </font>
    <font>
      <sz val="10"/>
      <name val="Bookman Old Style"/>
      <family val="1"/>
      <charset val="238"/>
    </font>
    <font>
      <b/>
      <sz val="12"/>
      <name val="Sylfae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EAEAEA"/>
      </patternFill>
    </fill>
    <fill>
      <patternFill patternType="solid">
        <fgColor rgb="FFECEAEC"/>
      </patternFill>
    </fill>
    <fill>
      <patternFill patternType="solid">
        <fgColor rgb="FFF4F2FD"/>
      </patternFill>
    </fill>
    <fill>
      <patternFill patternType="solid">
        <fgColor rgb="FF99DFC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4" fontId="2" fillId="3" borderId="1" xfId="0" applyNumberFormat="1" applyFont="1" applyFill="1" applyBorder="1" applyAlignment="1">
      <alignment horizontal="left" vertical="center"/>
    </xf>
    <xf numFmtId="4" fontId="2" fillId="3" borderId="1" xfId="0" applyNumberFormat="1" applyFont="1" applyFill="1" applyBorder="1" applyAlignment="1">
      <alignment horizontal="left" vertical="center" wrapText="1"/>
    </xf>
    <xf numFmtId="4" fontId="2" fillId="4" borderId="1" xfId="0" applyNumberFormat="1" applyFont="1" applyFill="1" applyBorder="1" applyAlignment="1">
      <alignment horizontal="right" vertical="center"/>
    </xf>
    <xf numFmtId="4" fontId="2" fillId="3" borderId="1" xfId="0" applyNumberFormat="1" applyFont="1" applyFill="1" applyBorder="1" applyAlignment="1">
      <alignment horizontal="right" vertical="center"/>
    </xf>
    <xf numFmtId="4" fontId="1" fillId="3" borderId="1" xfId="0" applyNumberFormat="1" applyFont="1" applyFill="1" applyBorder="1" applyAlignment="1">
      <alignment horizontal="left" vertical="center"/>
    </xf>
    <xf numFmtId="4" fontId="1" fillId="3" borderId="1" xfId="0" applyNumberFormat="1" applyFont="1" applyFill="1" applyBorder="1" applyAlignment="1">
      <alignment horizontal="left" vertical="center" wrapText="1"/>
    </xf>
    <xf numFmtId="4" fontId="1" fillId="5" borderId="1" xfId="0" applyNumberFormat="1" applyFont="1" applyFill="1" applyBorder="1" applyAlignment="1">
      <alignment horizontal="right" vertical="center"/>
    </xf>
    <xf numFmtId="4" fontId="1" fillId="0" borderId="1" xfId="0" applyNumberFormat="1" applyFont="1" applyBorder="1" applyAlignment="1">
      <alignment horizontal="right" vertical="center"/>
    </xf>
    <xf numFmtId="4" fontId="1" fillId="4" borderId="1" xfId="0" applyNumberFormat="1" applyFont="1" applyFill="1" applyBorder="1" applyAlignment="1">
      <alignment horizontal="right" vertical="center"/>
    </xf>
    <xf numFmtId="4" fontId="1" fillId="3" borderId="1" xfId="0" applyNumberFormat="1" applyFont="1" applyFill="1" applyBorder="1" applyAlignment="1">
      <alignment horizontal="right" vertical="center"/>
    </xf>
    <xf numFmtId="4" fontId="2" fillId="5" borderId="1" xfId="0" applyNumberFormat="1" applyFont="1" applyFill="1" applyBorder="1" applyAlignment="1">
      <alignment horizontal="right" vertical="center"/>
    </xf>
    <xf numFmtId="4" fontId="2" fillId="0" borderId="1" xfId="0" applyNumberFormat="1" applyFont="1" applyBorder="1" applyAlignment="1">
      <alignment horizontal="right" vertical="center"/>
    </xf>
    <xf numFmtId="10" fontId="1" fillId="3" borderId="1" xfId="0" applyNumberFormat="1" applyFont="1" applyFill="1" applyBorder="1" applyAlignment="1">
      <alignment horizontal="left" vertical="center"/>
    </xf>
    <xf numFmtId="10" fontId="1" fillId="3" borderId="1" xfId="0" applyNumberFormat="1" applyFont="1" applyFill="1" applyBorder="1" applyAlignment="1">
      <alignment horizontal="left" vertical="center" wrapText="1"/>
    </xf>
    <xf numFmtId="10" fontId="1" fillId="4" borderId="1" xfId="0" applyNumberFormat="1" applyFont="1" applyFill="1" applyBorder="1" applyAlignment="1">
      <alignment horizontal="right" vertical="center"/>
    </xf>
    <xf numFmtId="10" fontId="1" fillId="3" borderId="1" xfId="0" applyNumberFormat="1" applyFont="1" applyFill="1" applyBorder="1" applyAlignment="1">
      <alignment horizontal="right" vertical="center"/>
    </xf>
    <xf numFmtId="4" fontId="2" fillId="6" borderId="1" xfId="0" applyNumberFormat="1" applyFont="1" applyFill="1" applyBorder="1" applyAlignment="1">
      <alignment horizontal="center" vertical="center"/>
    </xf>
    <xf numFmtId="4" fontId="1" fillId="6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7" fillId="0" borderId="0" xfId="0" applyFont="1"/>
    <xf numFmtId="4" fontId="2" fillId="4" borderId="1" xfId="0" applyNumberFormat="1" applyFont="1" applyFill="1" applyBorder="1" applyAlignment="1">
      <alignment horizontal="right" vertical="center"/>
    </xf>
    <xf numFmtId="4" fontId="2" fillId="3" borderId="1" xfId="0" applyNumberFormat="1" applyFont="1" applyFill="1" applyBorder="1" applyAlignment="1">
      <alignment horizontal="right" vertical="center"/>
    </xf>
  </cellXfs>
  <cellStyles count="1">
    <cellStyle name="Normalny" xfId="0" builtinId="0"/>
  </cellStyles>
  <dxfs count="4">
    <dxf>
      <fill>
        <patternFill patternType="solid">
          <bgColor rgb="FFCD5C5C"/>
        </patternFill>
      </fill>
    </dxf>
    <dxf>
      <fill>
        <patternFill patternType="solid">
          <bgColor rgb="FFADFF2F"/>
        </patternFill>
      </fill>
    </dxf>
    <dxf>
      <fill>
        <patternFill patternType="solid">
          <bgColor rgb="FFCD5C5C"/>
        </patternFill>
      </fill>
    </dxf>
    <dxf>
      <fill>
        <patternFill patternType="solid">
          <bgColor rgb="FFADFF2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6"/>
  <sheetViews>
    <sheetView tabSelected="1" workbookViewId="0">
      <pane xSplit="2" ySplit="6" topLeftCell="C7" activePane="bottomRight" state="frozen"/>
      <selection pane="topRight" activeCell="C1" sqref="C1"/>
      <selection pane="bottomLeft" activeCell="A2" sqref="A2"/>
      <selection pane="bottomRight" activeCell="Q2" sqref="Q2"/>
    </sheetView>
  </sheetViews>
  <sheetFormatPr defaultRowHeight="15" x14ac:dyDescent="0.25"/>
  <cols>
    <col min="1" max="1" width="8.7109375" customWidth="1"/>
    <col min="2" max="2" width="40" customWidth="1"/>
    <col min="3" max="10" width="12.7109375" hidden="1" customWidth="1"/>
    <col min="11" max="17" width="12.7109375" customWidth="1"/>
  </cols>
  <sheetData>
    <row r="1" spans="1:17" s="20" customFormat="1" x14ac:dyDescent="0.25">
      <c r="Q1" s="22" t="s">
        <v>212</v>
      </c>
    </row>
    <row r="2" spans="1:17" s="20" customFormat="1" x14ac:dyDescent="0.25">
      <c r="Q2" s="22" t="s">
        <v>209</v>
      </c>
    </row>
    <row r="3" spans="1:17" s="20" customFormat="1" x14ac:dyDescent="0.25">
      <c r="Q3" s="22" t="s">
        <v>210</v>
      </c>
    </row>
    <row r="4" spans="1:17" s="20" customFormat="1" ht="18" x14ac:dyDescent="0.35">
      <c r="B4" s="23" t="s">
        <v>211</v>
      </c>
      <c r="Q4" s="21"/>
    </row>
    <row r="5" spans="1:17" s="20" customFormat="1" x14ac:dyDescent="0.25"/>
    <row r="6" spans="1:17" x14ac:dyDescent="0.25">
      <c r="A6" s="19" t="s">
        <v>0</v>
      </c>
      <c r="B6" s="19" t="s">
        <v>1</v>
      </c>
      <c r="C6" s="19" t="s">
        <v>2</v>
      </c>
      <c r="D6" s="19" t="s">
        <v>3</v>
      </c>
      <c r="E6" s="19" t="s">
        <v>4</v>
      </c>
      <c r="F6" s="19" t="s">
        <v>5</v>
      </c>
      <c r="G6" s="19" t="s">
        <v>6</v>
      </c>
      <c r="H6" s="19" t="s">
        <v>7</v>
      </c>
      <c r="I6" s="19" t="s">
        <v>8</v>
      </c>
      <c r="J6" s="19" t="s">
        <v>9</v>
      </c>
      <c r="K6" s="19" t="s">
        <v>10</v>
      </c>
      <c r="L6" s="19" t="s">
        <v>11</v>
      </c>
      <c r="M6" s="19" t="s">
        <v>12</v>
      </c>
      <c r="N6" s="19" t="s">
        <v>13</v>
      </c>
      <c r="O6" s="19" t="s">
        <v>14</v>
      </c>
      <c r="P6" s="19" t="s">
        <v>15</v>
      </c>
      <c r="Q6" s="19" t="s">
        <v>16</v>
      </c>
    </row>
    <row r="7" spans="1:17" ht="30" customHeight="1" x14ac:dyDescent="0.25">
      <c r="A7" s="1" t="s">
        <v>17</v>
      </c>
      <c r="B7" s="2" t="s">
        <v>18</v>
      </c>
      <c r="C7" s="3">
        <f>IF(ISNUMBER(VLOOKUP("1.1",A7:Q107,3,FALSE)),ROUND(VLOOKUP("1.1",A7:Q107,3,FALSE),4),0) + IF(ISNUMBER(VLOOKUP("1.2",A7:Q107,3,FALSE)),ROUND(VLOOKUP("1.2",A7:Q107,3,FALSE),4),0)</f>
        <v>73395538.540000007</v>
      </c>
      <c r="D7" s="3">
        <f>IF(ISNUMBER(VLOOKUP("1.1",A7:Q107,4,FALSE)),ROUND(VLOOKUP("1.1",A7:Q107,4,FALSE),4),0) + IF(ISNUMBER(VLOOKUP("1.2",A7:Q107,4,FALSE)),ROUND(VLOOKUP("1.2",A7:Q107,4,FALSE),4),0)</f>
        <v>86306723.230000004</v>
      </c>
      <c r="E7" s="3">
        <f>IF(ISNUMBER(VLOOKUP("1.1",A7:Q107,5,FALSE)),ROUND(VLOOKUP("1.1",A7:Q107,5,FALSE),4),0) + IF(ISNUMBER(VLOOKUP("1.2",A7:Q107,5,FALSE)),ROUND(VLOOKUP("1.2",A7:Q107,5,FALSE),4),0)</f>
        <v>87044976.429999992</v>
      </c>
      <c r="F7" s="3">
        <f>IF(ISNUMBER(VLOOKUP("1.1",A7:Q107,6,FALSE)),ROUND(VLOOKUP("1.1",A7:Q107,6,FALSE),4),0) + IF(ISNUMBER(VLOOKUP("1.2",A7:Q107,6,FALSE)),ROUND(VLOOKUP("1.2",A7:Q107,6,FALSE),4),0)</f>
        <v>111267351.47</v>
      </c>
      <c r="G7" s="3">
        <f>IF(ISNUMBER(VLOOKUP("1.1",A7:Q107,7,FALSE)),ROUND(VLOOKUP("1.1",A7:Q107,7,FALSE),4),0) + IF(ISNUMBER(VLOOKUP("1.2",A7:Q107,7,FALSE)),ROUND(VLOOKUP("1.2",A7:Q107,7,FALSE),4),0)</f>
        <v>101987564.34999999</v>
      </c>
      <c r="H7" s="3">
        <f>IF(ISNUMBER(VLOOKUP("1.1",A7:Q107,8,FALSE)),ROUND(VLOOKUP("1.1",A7:Q107,8,FALSE),4),0) + IF(ISNUMBER(VLOOKUP("1.2",A7:Q107,8,FALSE)),ROUND(VLOOKUP("1.2",A7:Q107,8,FALSE),4),0)</f>
        <v>142113191.75</v>
      </c>
      <c r="I7" s="3">
        <f>IF(ISNUMBER(VLOOKUP("1.1",A7:Q107,9,FALSE)),ROUND(VLOOKUP("1.1",A7:Q107,9,FALSE),4),0) + IF(ISNUMBER(VLOOKUP("1.2",A7:Q107,9,FALSE)),ROUND(VLOOKUP("1.2",A7:Q107,9,FALSE),4),0)</f>
        <v>154253956.16</v>
      </c>
      <c r="J7" s="3">
        <f>IF(ISNUMBER(VLOOKUP("1.1",A7:Q107,10,FALSE)),ROUND(VLOOKUP("1.1",A7:Q107,10,FALSE),4),0) + IF(ISNUMBER(VLOOKUP("1.2",A7:Q107,10,FALSE)),ROUND(VLOOKUP("1.2",A7:Q107,10,FALSE),4),0)</f>
        <v>158002838.91999999</v>
      </c>
      <c r="K7" s="4">
        <f>IF(ISNUMBER(VLOOKUP("1.1",A7:Q107,11,FALSE)),ROUND(VLOOKUP("1.1",A7:Q107,11,FALSE),4),0) + IF(ISNUMBER(VLOOKUP("1.2",A7:Q107,11,FALSE)),ROUND(VLOOKUP("1.2",A7:Q107,11,FALSE),4),0)</f>
        <v>154759962</v>
      </c>
      <c r="L7" s="4">
        <f>IF(ISNUMBER(VLOOKUP("1.1",A7:Q107,12,FALSE)),ROUND(VLOOKUP("1.1",A7:Q107,12,FALSE),4),0) + IF(ISNUMBER(VLOOKUP("1.2",A7:Q107,12,FALSE)),ROUND(VLOOKUP("1.2",A7:Q107,12,FALSE),4),0)</f>
        <v>146294264</v>
      </c>
      <c r="M7" s="4">
        <f>IF(ISNUMBER(VLOOKUP("1.1",A7:Q107,13,FALSE)),ROUND(VLOOKUP("1.1",A7:Q107,13,FALSE),4),0) + IF(ISNUMBER(VLOOKUP("1.2",A7:Q107,13,FALSE)),ROUND(VLOOKUP("1.2",A7:Q107,13,FALSE),4),0)</f>
        <v>146381849</v>
      </c>
      <c r="N7" s="4">
        <f>IF(ISNUMBER(VLOOKUP("1.1",A7:Q107,14,FALSE)),ROUND(VLOOKUP("1.1",A7:Q107,14,FALSE),4),0) + IF(ISNUMBER(VLOOKUP("1.2",A7:Q107,14,FALSE)),ROUND(VLOOKUP("1.2",A7:Q107,14,FALSE),4),0)</f>
        <v>150130768</v>
      </c>
      <c r="O7" s="4">
        <f>IF(ISNUMBER(VLOOKUP("1.1",A7:Q107,15,FALSE)),ROUND(VLOOKUP("1.1",A7:Q107,15,FALSE),4),0) + IF(ISNUMBER(VLOOKUP("1.2",A7:Q107,15,FALSE)),ROUND(VLOOKUP("1.2",A7:Q107,15,FALSE),4),0)</f>
        <v>153959140</v>
      </c>
      <c r="P7" s="4">
        <f>IF(ISNUMBER(VLOOKUP("1.1",A7:Q107,16,FALSE)),ROUND(VLOOKUP("1.1",A7:Q107,16,FALSE),4),0) + IF(ISNUMBER(VLOOKUP("1.2",A7:Q107,16,FALSE)),ROUND(VLOOKUP("1.2",A7:Q107,16,FALSE),4),0)</f>
        <v>157798588</v>
      </c>
      <c r="Q7" s="4">
        <f>IF(ISNUMBER(VLOOKUP("1.1",A7:Q107,17,FALSE)),ROUND(VLOOKUP("1.1",A7:Q107,17,FALSE),4),0) + IF(ISNUMBER(VLOOKUP("1.2",A7:Q107,17,FALSE)),ROUND(VLOOKUP("1.2",A7:Q107,17,FALSE),4),0)</f>
        <v>161566223</v>
      </c>
    </row>
    <row r="8" spans="1:17" ht="30" customHeight="1" x14ac:dyDescent="0.25">
      <c r="A8" s="1" t="s">
        <v>19</v>
      </c>
      <c r="B8" s="2" t="s">
        <v>20</v>
      </c>
      <c r="C8" s="3">
        <f>IF(ISNUMBER(VLOOKUP("1.1.1",A7:Q107,3,FALSE)),ROUND(VLOOKUP("1.1.1",A7:Q107,3,FALSE),4),0) + IF(ISNUMBER(VLOOKUP("1.1.2",A7:Q107,3,FALSE)),ROUND(VLOOKUP("1.1.2",A7:Q107,3,FALSE),4),0) + IF(ISNUMBER(VLOOKUP("1.1.3",A7:Q107,3,FALSE)),ROUND(VLOOKUP("1.1.3",A7:Q107,3,FALSE),4),0) + IF(ISNUMBER(VLOOKUP("1.1.4",A7:Q107,3,FALSE)),ROUND(VLOOKUP("1.1.4",A7:Q107,3,FALSE),4),0) + IF(ISNUMBER(VLOOKUP("1.1.5",A7:Q107,3,FALSE)),ROUND(VLOOKUP("1.1.5",A7:Q107,3,FALSE),4),0) + IF(ISNA(VLOOKUP("1.1.x",A7:Q107,3,FALSE)),0,ROUND(VLOOKUP("1.1.x",A7:Q107,3,FALSE),4))</f>
        <v>71772381.810000002</v>
      </c>
      <c r="D8" s="3">
        <f>IF(ISNUMBER(VLOOKUP("1.1.1",A7:Q107,4,FALSE)),ROUND(VLOOKUP("1.1.1",A7:Q107,4,FALSE),4),0) + IF(ISNUMBER(VLOOKUP("1.1.2",A7:Q107,4,FALSE)),ROUND(VLOOKUP("1.1.2",A7:Q107,4,FALSE),4),0) + IF(ISNUMBER(VLOOKUP("1.1.3",A7:Q107,4,FALSE)),ROUND(VLOOKUP("1.1.3",A7:Q107,4,FALSE),4),0) + IF(ISNUMBER(VLOOKUP("1.1.4",A7:Q107,4,FALSE)),ROUND(VLOOKUP("1.1.4",A7:Q107,4,FALSE),4),0) + IF(ISNUMBER(VLOOKUP("1.1.5",A7:Q107,4,FALSE)),ROUND(VLOOKUP("1.1.5",A7:Q107,4,FALSE),4),0) + IF(ISNA(VLOOKUP("1.1.x",A7:Q107,4,FALSE)),0,ROUND(VLOOKUP("1.1.x",A7:Q107,4,FALSE),4))</f>
        <v>79140717.480000004</v>
      </c>
      <c r="E8" s="3">
        <f>IF(ISNUMBER(VLOOKUP("1.1.1",A7:Q107,5,FALSE)),ROUND(VLOOKUP("1.1.1",A7:Q107,5,FALSE),4),0) + IF(ISNUMBER(VLOOKUP("1.1.2",A7:Q107,5,FALSE)),ROUND(VLOOKUP("1.1.2",A7:Q107,5,FALSE),4),0) + IF(ISNUMBER(VLOOKUP("1.1.3",A7:Q107,5,FALSE)),ROUND(VLOOKUP("1.1.3",A7:Q107,5,FALSE),4),0) + IF(ISNUMBER(VLOOKUP("1.1.4",A7:Q107,5,FALSE)),ROUND(VLOOKUP("1.1.4",A7:Q107,5,FALSE),4),0) + IF(ISNUMBER(VLOOKUP("1.1.5",A7:Q107,5,FALSE)),ROUND(VLOOKUP("1.1.5",A7:Q107,5,FALSE),4),0) + IF(ISNA(VLOOKUP("1.1.x",A7:Q107,5,FALSE)),0,ROUND(VLOOKUP("1.1.x",A7:Q107,5,FALSE),4))</f>
        <v>83346087.569999993</v>
      </c>
      <c r="F8" s="3">
        <f>IF(ISNUMBER(VLOOKUP("1.1.1",A7:Q107,6,FALSE)),ROUND(VLOOKUP("1.1.1",A7:Q107,6,FALSE),4),0) + IF(ISNUMBER(VLOOKUP("1.1.2",A7:Q107,6,FALSE)),ROUND(VLOOKUP("1.1.2",A7:Q107,6,FALSE),4),0) + IF(ISNUMBER(VLOOKUP("1.1.3",A7:Q107,6,FALSE)),ROUND(VLOOKUP("1.1.3",A7:Q107,6,FALSE),4),0) + IF(ISNUMBER(VLOOKUP("1.1.4",A7:Q107,6,FALSE)),ROUND(VLOOKUP("1.1.4",A7:Q107,6,FALSE),4),0) + IF(ISNUMBER(VLOOKUP("1.1.5",A7:Q107,6,FALSE)),ROUND(VLOOKUP("1.1.5",A7:Q107,6,FALSE),4),0) + IF(ISNA(VLOOKUP("1.1.x",A7:Q107,6,FALSE)),0,ROUND(VLOOKUP("1.1.x",A7:Q107,6,FALSE),4))</f>
        <v>93039984.660000011</v>
      </c>
      <c r="G8" s="3">
        <f>IF(ISNUMBER(VLOOKUP("1.1.1",A7:Q107,7,FALSE)),ROUND(VLOOKUP("1.1.1",A7:Q107,7,FALSE),4),0) + IF(ISNUMBER(VLOOKUP("1.1.2",A7:Q107,7,FALSE)),ROUND(VLOOKUP("1.1.2",A7:Q107,7,FALSE),4),0) + IF(ISNUMBER(VLOOKUP("1.1.3",A7:Q107,7,FALSE)),ROUND(VLOOKUP("1.1.3",A7:Q107,7,FALSE),4),0) + IF(ISNUMBER(VLOOKUP("1.1.4",A7:Q107,7,FALSE)),ROUND(VLOOKUP("1.1.4",A7:Q107,7,FALSE),4),0) + IF(ISNUMBER(VLOOKUP("1.1.5",A7:Q107,7,FALSE)),ROUND(VLOOKUP("1.1.5",A7:Q107,7,FALSE),4),0) + IF(ISNA(VLOOKUP("1.1.x",A7:Q107,7,FALSE)),0,ROUND(VLOOKUP("1.1.x",A7:Q107,7,FALSE),4))</f>
        <v>95048631.720000014</v>
      </c>
      <c r="H8" s="3">
        <f>IF(ISNUMBER(VLOOKUP("1.1.1",A7:Q107,8,FALSE)),ROUND(VLOOKUP("1.1.1",A7:Q107,8,FALSE),4),0) + IF(ISNUMBER(VLOOKUP("1.1.2",A7:Q107,8,FALSE)),ROUND(VLOOKUP("1.1.2",A7:Q107,8,FALSE),4),0) + IF(ISNUMBER(VLOOKUP("1.1.3",A7:Q107,8,FALSE)),ROUND(VLOOKUP("1.1.3",A7:Q107,8,FALSE),4),0) + IF(ISNUMBER(VLOOKUP("1.1.4",A7:Q107,8,FALSE)),ROUND(VLOOKUP("1.1.4",A7:Q107,8,FALSE),4),0) + IF(ISNUMBER(VLOOKUP("1.1.5",A7:Q107,8,FALSE)),ROUND(VLOOKUP("1.1.5",A7:Q107,8,FALSE),4),0) + IF(ISNA(VLOOKUP("1.1.x",A7:Q107,8,FALSE)),0,ROUND(VLOOKUP("1.1.x",A7:Q107,8,FALSE),4))</f>
        <v>127064881.03999999</v>
      </c>
      <c r="I8" s="3">
        <f>IF(ISNUMBER(VLOOKUP("1.1.1",A7:Q107,9,FALSE)),ROUND(VLOOKUP("1.1.1",A7:Q107,9,FALSE),4),0) + IF(ISNUMBER(VLOOKUP("1.1.2",A7:Q107,9,FALSE)),ROUND(VLOOKUP("1.1.2",A7:Q107,9,FALSE),4),0) + IF(ISNUMBER(VLOOKUP("1.1.3",A7:Q107,9,FALSE)),ROUND(VLOOKUP("1.1.3",A7:Q107,9,FALSE),4),0) + IF(ISNUMBER(VLOOKUP("1.1.4",A7:Q107,9,FALSE)),ROUND(VLOOKUP("1.1.4",A7:Q107,9,FALSE),4),0) + IF(ISNUMBER(VLOOKUP("1.1.5",A7:Q107,9,FALSE)),ROUND(VLOOKUP("1.1.5",A7:Q107,9,FALSE),4),0) + IF(ISNA(VLOOKUP("1.1.x",A7:Q107,9,FALSE)),0,ROUND(VLOOKUP("1.1.x",A7:Q107,9,FALSE),4))</f>
        <v>134647990.16</v>
      </c>
      <c r="J8" s="3">
        <f>IF(ISNUMBER(VLOOKUP("1.1.1",A7:Q107,10,FALSE)),ROUND(VLOOKUP("1.1.1",A7:Q107,10,FALSE),4),0) + IF(ISNUMBER(VLOOKUP("1.1.2",A7:Q107,10,FALSE)),ROUND(VLOOKUP("1.1.2",A7:Q107,10,FALSE),4),0) + IF(ISNUMBER(VLOOKUP("1.1.3",A7:Q107,10,FALSE)),ROUND(VLOOKUP("1.1.3",A7:Q107,10,FALSE),4),0) + IF(ISNUMBER(VLOOKUP("1.1.4",A7:Q107,10,FALSE)),ROUND(VLOOKUP("1.1.4",A7:Q107,10,FALSE),4),0) + IF(ISNUMBER(VLOOKUP("1.1.5",A7:Q107,10,FALSE)),ROUND(VLOOKUP("1.1.5",A7:Q107,10,FALSE),4),0) + IF(ISNA(VLOOKUP("1.1.x",A7:Q107,10,FALSE)),0,ROUND(VLOOKUP("1.1.x",A7:Q107,10,FALSE),4))</f>
        <v>137189872.92000002</v>
      </c>
      <c r="K8" s="4">
        <f>IF(ISNUMBER(VLOOKUP("1.1.1",A7:Q107,11,FALSE)),ROUND(VLOOKUP("1.1.1",A7:Q107,11,FALSE),4),0) + IF(ISNUMBER(VLOOKUP("1.1.2",A7:Q107,11,FALSE)),ROUND(VLOOKUP("1.1.2",A7:Q107,11,FALSE),4),0) + IF(ISNUMBER(VLOOKUP("1.1.3",A7:Q107,11,FALSE)),ROUND(VLOOKUP("1.1.3",A7:Q107,11,FALSE),4),0) + IF(ISNUMBER(VLOOKUP("1.1.4",A7:Q107,11,FALSE)),ROUND(VLOOKUP("1.1.4",A7:Q107,11,FALSE),4),0) + IF(ISNUMBER(VLOOKUP("1.1.5",A7:Q107,11,FALSE)),ROUND(VLOOKUP("1.1.5",A7:Q107,11,FALSE),4),0) + IF(ISNA(VLOOKUP("1.1.x",A7:Q107,11,FALSE)),0,ROUND(VLOOKUP("1.1.x",A7:Q107,11,FALSE),4))</f>
        <v>139443895</v>
      </c>
      <c r="L8" s="4">
        <f>IF(ISNUMBER(VLOOKUP("1.1.1",A7:Q107,12,FALSE)),ROUND(VLOOKUP("1.1.1",A7:Q107,12,FALSE),4),0) + IF(ISNUMBER(VLOOKUP("1.1.2",A7:Q107,12,FALSE)),ROUND(VLOOKUP("1.1.2",A7:Q107,12,FALSE),4),0) + IF(ISNUMBER(VLOOKUP("1.1.3",A7:Q107,12,FALSE)),ROUND(VLOOKUP("1.1.3",A7:Q107,12,FALSE),4),0) + IF(ISNUMBER(VLOOKUP("1.1.4",A7:Q107,12,FALSE)),ROUND(VLOOKUP("1.1.4",A7:Q107,12,FALSE),4),0) + IF(ISNUMBER(VLOOKUP("1.1.5",A7:Q107,12,FALSE)),ROUND(VLOOKUP("1.1.5",A7:Q107,12,FALSE),4),0) + IF(ISNA(VLOOKUP("1.1.x",A7:Q107,12,FALSE)),0,ROUND(VLOOKUP("1.1.x",A7:Q107,12,FALSE),4))</f>
        <v>142088379</v>
      </c>
      <c r="M8" s="4">
        <f>IF(ISNUMBER(VLOOKUP("1.1.1",A7:Q107,13,FALSE)),ROUND(VLOOKUP("1.1.1",A7:Q107,13,FALSE),4),0) + IF(ISNUMBER(VLOOKUP("1.1.2",A7:Q107,13,FALSE)),ROUND(VLOOKUP("1.1.2",A7:Q107,13,FALSE),4),0) + IF(ISNUMBER(VLOOKUP("1.1.3",A7:Q107,13,FALSE)),ROUND(VLOOKUP("1.1.3",A7:Q107,13,FALSE),4),0) + IF(ISNUMBER(VLOOKUP("1.1.4",A7:Q107,13,FALSE)),ROUND(VLOOKUP("1.1.4",A7:Q107,13,FALSE),4),0) + IF(ISNUMBER(VLOOKUP("1.1.5",A7:Q107,13,FALSE)),ROUND(VLOOKUP("1.1.5",A7:Q107,13,FALSE),4),0) + IF(ISNA(VLOOKUP("1.1.x",A7:Q107,13,FALSE)),0,ROUND(VLOOKUP("1.1.x",A7:Q107,13,FALSE),4))</f>
        <v>146263849</v>
      </c>
      <c r="N8" s="4">
        <f>IF(ISNUMBER(VLOOKUP("1.1.1",A7:Q107,14,FALSE)),ROUND(VLOOKUP("1.1.1",A7:Q107,14,FALSE),4),0) + IF(ISNUMBER(VLOOKUP("1.1.2",A7:Q107,14,FALSE)),ROUND(VLOOKUP("1.1.2",A7:Q107,14,FALSE),4),0) + IF(ISNUMBER(VLOOKUP("1.1.3",A7:Q107,14,FALSE)),ROUND(VLOOKUP("1.1.3",A7:Q107,14,FALSE),4),0) + IF(ISNUMBER(VLOOKUP("1.1.4",A7:Q107,14,FALSE)),ROUND(VLOOKUP("1.1.4",A7:Q107,14,FALSE),4),0) + IF(ISNUMBER(VLOOKUP("1.1.5",A7:Q107,14,FALSE)),ROUND(VLOOKUP("1.1.5",A7:Q107,14,FALSE),4),0) + IF(ISNA(VLOOKUP("1.1.x",A7:Q107,14,FALSE)),0,ROUND(VLOOKUP("1.1.x",A7:Q107,14,FALSE),4))</f>
        <v>150075768</v>
      </c>
      <c r="O8" s="4">
        <f>IF(ISNUMBER(VLOOKUP("1.1.1",A7:Q107,15,FALSE)),ROUND(VLOOKUP("1.1.1",A7:Q107,15,FALSE),4),0) + IF(ISNUMBER(VLOOKUP("1.1.2",A7:Q107,15,FALSE)),ROUND(VLOOKUP("1.1.2",A7:Q107,15,FALSE),4),0) + IF(ISNUMBER(VLOOKUP("1.1.3",A7:Q107,15,FALSE)),ROUND(VLOOKUP("1.1.3",A7:Q107,15,FALSE),4),0) + IF(ISNUMBER(VLOOKUP("1.1.4",A7:Q107,15,FALSE)),ROUND(VLOOKUP("1.1.4",A7:Q107,15,FALSE),4),0) + IF(ISNUMBER(VLOOKUP("1.1.5",A7:Q107,15,FALSE)),ROUND(VLOOKUP("1.1.5",A7:Q107,15,FALSE),4),0) + IF(ISNA(VLOOKUP("1.1.x",A7:Q107,15,FALSE)),0,ROUND(VLOOKUP("1.1.x",A7:Q107,15,FALSE),4))</f>
        <v>153959140</v>
      </c>
      <c r="P8" s="4">
        <f>IF(ISNUMBER(VLOOKUP("1.1.1",A7:Q107,16,FALSE)),ROUND(VLOOKUP("1.1.1",A7:Q107,16,FALSE),4),0) + IF(ISNUMBER(VLOOKUP("1.1.2",A7:Q107,16,FALSE)),ROUND(VLOOKUP("1.1.2",A7:Q107,16,FALSE),4),0) + IF(ISNUMBER(VLOOKUP("1.1.3",A7:Q107,16,FALSE)),ROUND(VLOOKUP("1.1.3",A7:Q107,16,FALSE),4),0) + IF(ISNUMBER(VLOOKUP("1.1.4",A7:Q107,16,FALSE)),ROUND(VLOOKUP("1.1.4",A7:Q107,16,FALSE),4),0) + IF(ISNUMBER(VLOOKUP("1.1.5",A7:Q107,16,FALSE)),ROUND(VLOOKUP("1.1.5",A7:Q107,16,FALSE),4),0) + IF(ISNA(VLOOKUP("1.1.x",A7:Q107,16,FALSE)),0,ROUND(VLOOKUP("1.1.x",A7:Q107,16,FALSE),4))</f>
        <v>157798588</v>
      </c>
      <c r="Q8" s="4">
        <f>IF(ISNUMBER(VLOOKUP("1.1.1",A7:Q107,17,FALSE)),ROUND(VLOOKUP("1.1.1",A7:Q107,17,FALSE),4),0) + IF(ISNUMBER(VLOOKUP("1.1.2",A7:Q107,17,FALSE)),ROUND(VLOOKUP("1.1.2",A7:Q107,17,FALSE),4),0) + IF(ISNUMBER(VLOOKUP("1.1.3",A7:Q107,17,FALSE)),ROUND(VLOOKUP("1.1.3",A7:Q107,17,FALSE),4),0) + IF(ISNUMBER(VLOOKUP("1.1.4",A7:Q107,17,FALSE)),ROUND(VLOOKUP("1.1.4",A7:Q107,17,FALSE),4),0) + IF(ISNUMBER(VLOOKUP("1.1.5",A7:Q107,17,FALSE)),ROUND(VLOOKUP("1.1.5",A7:Q107,17,FALSE),4),0) + IF(ISNA(VLOOKUP("1.1.x",A7:Q107,17,FALSE)),0,ROUND(VLOOKUP("1.1.x",A7:Q107,17,FALSE),4))</f>
        <v>161566223</v>
      </c>
    </row>
    <row r="9" spans="1:17" ht="39.950000000000003" customHeight="1" x14ac:dyDescent="0.25">
      <c r="A9" s="5" t="s">
        <v>21</v>
      </c>
      <c r="B9" s="6" t="s">
        <v>22</v>
      </c>
      <c r="C9" s="7">
        <v>8989043</v>
      </c>
      <c r="D9" s="7">
        <v>8641304</v>
      </c>
      <c r="E9" s="7">
        <v>9732422</v>
      </c>
      <c r="F9" s="7">
        <v>14188319.199999999</v>
      </c>
      <c r="G9" s="7">
        <v>7802506</v>
      </c>
      <c r="H9" s="7">
        <v>11759824</v>
      </c>
      <c r="I9" s="7">
        <v>34224781.469999999</v>
      </c>
      <c r="J9" s="7">
        <v>34224781.469999999</v>
      </c>
      <c r="K9" s="8">
        <v>37196051</v>
      </c>
      <c r="L9" s="8">
        <v>38237540</v>
      </c>
      <c r="M9" s="8">
        <v>39269954</v>
      </c>
      <c r="N9" s="8">
        <v>40290973</v>
      </c>
      <c r="O9" s="8">
        <v>41338538</v>
      </c>
      <c r="P9" s="8">
        <v>42372001</v>
      </c>
      <c r="Q9" s="8">
        <v>43388929</v>
      </c>
    </row>
    <row r="10" spans="1:17" ht="39.950000000000003" customHeight="1" x14ac:dyDescent="0.25">
      <c r="A10" s="5" t="s">
        <v>23</v>
      </c>
      <c r="B10" s="6" t="s">
        <v>24</v>
      </c>
      <c r="C10" s="7">
        <v>177334.83</v>
      </c>
      <c r="D10" s="7">
        <v>189437.1</v>
      </c>
      <c r="E10" s="7">
        <v>307143.7</v>
      </c>
      <c r="F10" s="7">
        <v>250442.97</v>
      </c>
      <c r="G10" s="7">
        <v>398200</v>
      </c>
      <c r="H10" s="7">
        <v>532426</v>
      </c>
      <c r="I10" s="7">
        <v>3125778.17</v>
      </c>
      <c r="J10" s="7">
        <v>3125778.17</v>
      </c>
      <c r="K10" s="8">
        <v>4042673</v>
      </c>
      <c r="L10" s="8">
        <v>4155868</v>
      </c>
      <c r="M10" s="8">
        <v>4268076</v>
      </c>
      <c r="N10" s="8">
        <v>4379046</v>
      </c>
      <c r="O10" s="8">
        <v>4492901</v>
      </c>
      <c r="P10" s="8">
        <v>4605224</v>
      </c>
      <c r="Q10" s="8">
        <v>4715749</v>
      </c>
    </row>
    <row r="11" spans="1:17" ht="30" customHeight="1" x14ac:dyDescent="0.25">
      <c r="A11" s="5" t="s">
        <v>25</v>
      </c>
      <c r="B11" s="6" t="s">
        <v>26</v>
      </c>
      <c r="C11" s="7">
        <v>38748657</v>
      </c>
      <c r="D11" s="7">
        <v>44019401</v>
      </c>
      <c r="E11" s="7">
        <v>45191319</v>
      </c>
      <c r="F11" s="7">
        <v>45065042</v>
      </c>
      <c r="G11" s="7">
        <v>51782722.950000003</v>
      </c>
      <c r="H11" s="7">
        <v>71861957</v>
      </c>
      <c r="I11" s="7">
        <v>56586302.950000003</v>
      </c>
      <c r="J11" s="7">
        <v>57599090.950000003</v>
      </c>
      <c r="K11" s="8">
        <v>58260068</v>
      </c>
      <c r="L11" s="8">
        <v>59891350</v>
      </c>
      <c r="M11" s="8">
        <v>61508416</v>
      </c>
      <c r="N11" s="8">
        <v>63107635</v>
      </c>
      <c r="O11" s="8">
        <v>64748434</v>
      </c>
      <c r="P11" s="8">
        <v>66367145</v>
      </c>
      <c r="Q11" s="8">
        <v>67959956</v>
      </c>
    </row>
    <row r="12" spans="1:17" ht="30" customHeight="1" x14ac:dyDescent="0.25">
      <c r="A12" s="5" t="s">
        <v>27</v>
      </c>
      <c r="B12" s="6" t="s">
        <v>28</v>
      </c>
      <c r="C12" s="7">
        <v>13597429.800000001</v>
      </c>
      <c r="D12" s="7">
        <v>15805369.98</v>
      </c>
      <c r="E12" s="7">
        <v>16941434.190000001</v>
      </c>
      <c r="F12" s="7">
        <v>19092994.850000001</v>
      </c>
      <c r="G12" s="7">
        <v>19074119.370000001</v>
      </c>
      <c r="H12" s="7">
        <v>25049870.289999999</v>
      </c>
      <c r="I12" s="7">
        <v>22555277.16</v>
      </c>
      <c r="J12" s="7">
        <v>23914575.920000002</v>
      </c>
      <c r="K12" s="8">
        <v>21879705</v>
      </c>
      <c r="L12" s="8">
        <v>22492337</v>
      </c>
      <c r="M12" s="8">
        <v>23099630</v>
      </c>
      <c r="N12" s="8">
        <v>23700220</v>
      </c>
      <c r="O12" s="8">
        <v>24316426</v>
      </c>
      <c r="P12" s="8">
        <v>24924337</v>
      </c>
      <c r="Q12" s="8">
        <v>25522521</v>
      </c>
    </row>
    <row r="13" spans="1:17" ht="30" customHeight="1" x14ac:dyDescent="0.25">
      <c r="A13" s="5" t="s">
        <v>29</v>
      </c>
      <c r="B13" s="6" t="s">
        <v>30</v>
      </c>
      <c r="C13" s="7">
        <v>10259917.18</v>
      </c>
      <c r="D13" s="7">
        <v>10485205.4</v>
      </c>
      <c r="E13" s="7">
        <v>11173768.68</v>
      </c>
      <c r="F13" s="7">
        <v>14443185.640000001</v>
      </c>
      <c r="G13" s="7">
        <v>15991083.4</v>
      </c>
      <c r="H13" s="7">
        <v>17860803.75</v>
      </c>
      <c r="I13" s="7">
        <v>18155850.41</v>
      </c>
      <c r="J13" s="7">
        <v>18325646.41</v>
      </c>
      <c r="K13" s="8">
        <v>18065398</v>
      </c>
      <c r="L13" s="8">
        <v>17311284</v>
      </c>
      <c r="M13" s="8">
        <v>18117773</v>
      </c>
      <c r="N13" s="8">
        <v>18597894</v>
      </c>
      <c r="O13" s="8">
        <v>19062841</v>
      </c>
      <c r="P13" s="8">
        <v>19529881</v>
      </c>
      <c r="Q13" s="8">
        <v>19979068</v>
      </c>
    </row>
    <row r="14" spans="1:17" ht="30" customHeight="1" x14ac:dyDescent="0.25">
      <c r="A14" s="5" t="s">
        <v>31</v>
      </c>
      <c r="B14" s="6" t="s">
        <v>32</v>
      </c>
      <c r="C14" s="7">
        <v>0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  <c r="P14" s="8">
        <v>0</v>
      </c>
      <c r="Q14" s="8">
        <v>0</v>
      </c>
    </row>
    <row r="15" spans="1:17" ht="30" customHeight="1" x14ac:dyDescent="0.25">
      <c r="A15" s="5" t="s">
        <v>33</v>
      </c>
      <c r="B15" s="6" t="s">
        <v>34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  <c r="P15" s="8">
        <v>0</v>
      </c>
      <c r="Q15" s="8">
        <v>0</v>
      </c>
    </row>
    <row r="16" spans="1:17" ht="30" customHeight="1" x14ac:dyDescent="0.25">
      <c r="A16" s="1" t="s">
        <v>35</v>
      </c>
      <c r="B16" s="2" t="s">
        <v>36</v>
      </c>
      <c r="C16" s="3">
        <f>IF(ISNUMBER(VLOOKUP("1.2.1",A7:Q107,3,FALSE)),ROUND(VLOOKUP("1.2.1",A7:Q107,3,FALSE),4),0) + IF(ISNUMBER(VLOOKUP("1.2.2",A7:Q107,3,FALSE)),ROUND(VLOOKUP("1.2.2",A7:Q107,3,FALSE),4),0) + IF(ISNUMBER(VLOOKUP("1.2.x",A7:Q107,3,FALSE)),ROUND(VLOOKUP("1.2.x",A7:Q107,3,FALSE),4),0)</f>
        <v>1623156.73</v>
      </c>
      <c r="D16" s="3">
        <f>IF(ISNUMBER(VLOOKUP("1.2.1",A7:Q107,4,FALSE)),ROUND(VLOOKUP("1.2.1",A7:Q107,4,FALSE),4),0) + IF(ISNUMBER(VLOOKUP("1.2.2",A7:Q107,4,FALSE)),ROUND(VLOOKUP("1.2.2",A7:Q107,4,FALSE),4),0) + IF(ISNUMBER(VLOOKUP("1.2.x",A7:Q107,4,FALSE)),ROUND(VLOOKUP("1.2.x",A7:Q107,4,FALSE),4),0)</f>
        <v>7166005.75</v>
      </c>
      <c r="E16" s="3">
        <f>IF(ISNUMBER(VLOOKUP("1.2.1",A7:Q107,5,FALSE)),ROUND(VLOOKUP("1.2.1",A7:Q107,5,FALSE),4),0) + IF(ISNUMBER(VLOOKUP("1.2.2",A7:Q107,5,FALSE)),ROUND(VLOOKUP("1.2.2",A7:Q107,5,FALSE),4),0) + IF(ISNUMBER(VLOOKUP("1.2.x",A7:Q107,5,FALSE)),ROUND(VLOOKUP("1.2.x",A7:Q107,5,FALSE),4),0)</f>
        <v>3698888.86</v>
      </c>
      <c r="F16" s="3">
        <f>IF(ISNUMBER(VLOOKUP("1.2.1",A7:Q107,6,FALSE)),ROUND(VLOOKUP("1.2.1",A7:Q107,6,FALSE),4),0) + IF(ISNUMBER(VLOOKUP("1.2.2",A7:Q107,6,FALSE)),ROUND(VLOOKUP("1.2.2",A7:Q107,6,FALSE),4),0) + IF(ISNUMBER(VLOOKUP("1.2.x",A7:Q107,6,FALSE)),ROUND(VLOOKUP("1.2.x",A7:Q107,6,FALSE),4),0)</f>
        <v>18227366.809999999</v>
      </c>
      <c r="G16" s="3">
        <f>IF(ISNUMBER(VLOOKUP("1.2.1",A7:Q107,7,FALSE)),ROUND(VLOOKUP("1.2.1",A7:Q107,7,FALSE),4),0) + IF(ISNUMBER(VLOOKUP("1.2.2",A7:Q107,7,FALSE)),ROUND(VLOOKUP("1.2.2",A7:Q107,7,FALSE),4),0) + IF(ISNUMBER(VLOOKUP("1.2.x",A7:Q107,7,FALSE)),ROUND(VLOOKUP("1.2.x",A7:Q107,7,FALSE),4),0)</f>
        <v>6938932.6299999999</v>
      </c>
      <c r="H16" s="3">
        <f>IF(ISNUMBER(VLOOKUP("1.2.1",A7:Q107,8,FALSE)),ROUND(VLOOKUP("1.2.1",A7:Q107,8,FALSE),4),0) + IF(ISNUMBER(VLOOKUP("1.2.2",A7:Q107,8,FALSE)),ROUND(VLOOKUP("1.2.2",A7:Q107,8,FALSE),4),0) + IF(ISNUMBER(VLOOKUP("1.2.x",A7:Q107,8,FALSE)),ROUND(VLOOKUP("1.2.x",A7:Q107,8,FALSE),4),0)</f>
        <v>15048310.709999999</v>
      </c>
      <c r="I16" s="3">
        <f>IF(ISNUMBER(VLOOKUP("1.2.1",A7:Q107,9,FALSE)),ROUND(VLOOKUP("1.2.1",A7:Q107,9,FALSE),4),0) + IF(ISNUMBER(VLOOKUP("1.2.2",A7:Q107,9,FALSE)),ROUND(VLOOKUP("1.2.2",A7:Q107,9,FALSE),4),0) + IF(ISNUMBER(VLOOKUP("1.2.x",A7:Q107,9,FALSE)),ROUND(VLOOKUP("1.2.x",A7:Q107,9,FALSE),4),0)</f>
        <v>19605966</v>
      </c>
      <c r="J16" s="3">
        <f>IF(ISNUMBER(VLOOKUP("1.2.1",A7:Q107,10,FALSE)),ROUND(VLOOKUP("1.2.1",A7:Q107,10,FALSE),4),0) + IF(ISNUMBER(VLOOKUP("1.2.2",A7:Q107,10,FALSE)),ROUND(VLOOKUP("1.2.2",A7:Q107,10,FALSE),4),0) + IF(ISNUMBER(VLOOKUP("1.2.x",A7:Q107,10,FALSE)),ROUND(VLOOKUP("1.2.x",A7:Q107,10,FALSE),4),0)</f>
        <v>20812966</v>
      </c>
      <c r="K16" s="4">
        <f>IF(ISNUMBER(VLOOKUP("1.2.1",A7:Q107,11,FALSE)),ROUND(VLOOKUP("1.2.1",A7:Q107,11,FALSE),4),0) + IF(ISNUMBER(VLOOKUP("1.2.2",A7:Q107,11,FALSE)),ROUND(VLOOKUP("1.2.2",A7:Q107,11,FALSE),4),0) + IF(ISNUMBER(VLOOKUP("1.2.x",A7:Q107,11,FALSE)),ROUND(VLOOKUP("1.2.x",A7:Q107,11,FALSE),4),0)</f>
        <v>15316067</v>
      </c>
      <c r="L16" s="4">
        <f>IF(ISNUMBER(VLOOKUP("1.2.1",A7:Q107,12,FALSE)),ROUND(VLOOKUP("1.2.1",A7:Q107,12,FALSE),4),0) + IF(ISNUMBER(VLOOKUP("1.2.2",A7:Q107,12,FALSE)),ROUND(VLOOKUP("1.2.2",A7:Q107,12,FALSE),4),0) + IF(ISNUMBER(VLOOKUP("1.2.x",A7:Q107,12,FALSE)),ROUND(VLOOKUP("1.2.x",A7:Q107,12,FALSE),4),0)</f>
        <v>4205885</v>
      </c>
      <c r="M16" s="4">
        <f>IF(ISNUMBER(VLOOKUP("1.2.1",A7:Q107,13,FALSE)),ROUND(VLOOKUP("1.2.1",A7:Q107,13,FALSE),4),0) + IF(ISNUMBER(VLOOKUP("1.2.2",A7:Q107,13,FALSE)),ROUND(VLOOKUP("1.2.2",A7:Q107,13,FALSE),4),0) + IF(ISNUMBER(VLOOKUP("1.2.x",A7:Q107,13,FALSE)),ROUND(VLOOKUP("1.2.x",A7:Q107,13,FALSE),4),0)</f>
        <v>118000</v>
      </c>
      <c r="N16" s="4">
        <f>IF(ISNUMBER(VLOOKUP("1.2.1",A7:Q107,14,FALSE)),ROUND(VLOOKUP("1.2.1",A7:Q107,14,FALSE),4),0) + IF(ISNUMBER(VLOOKUP("1.2.2",A7:Q107,14,FALSE)),ROUND(VLOOKUP("1.2.2",A7:Q107,14,FALSE),4),0) + IF(ISNUMBER(VLOOKUP("1.2.x",A7:Q107,14,FALSE)),ROUND(VLOOKUP("1.2.x",A7:Q107,14,FALSE),4),0)</f>
        <v>55000</v>
      </c>
      <c r="O16" s="4">
        <f>IF(ISNUMBER(VLOOKUP("1.2.1",A7:Q107,15,FALSE)),ROUND(VLOOKUP("1.2.1",A7:Q107,15,FALSE),4),0) + IF(ISNUMBER(VLOOKUP("1.2.2",A7:Q107,15,FALSE)),ROUND(VLOOKUP("1.2.2",A7:Q107,15,FALSE),4),0) + IF(ISNUMBER(VLOOKUP("1.2.x",A7:Q107,15,FALSE)),ROUND(VLOOKUP("1.2.x",A7:Q107,15,FALSE),4),0)</f>
        <v>0</v>
      </c>
      <c r="P16" s="4">
        <f>IF(ISNUMBER(VLOOKUP("1.2.1",A7:Q107,16,FALSE)),ROUND(VLOOKUP("1.2.1",A7:Q107,16,FALSE),4),0) + IF(ISNUMBER(VLOOKUP("1.2.2",A7:Q107,16,FALSE)),ROUND(VLOOKUP("1.2.2",A7:Q107,16,FALSE),4),0) + IF(ISNUMBER(VLOOKUP("1.2.x",A7:Q107,16,FALSE)),ROUND(VLOOKUP("1.2.x",A7:Q107,16,FALSE),4),0)</f>
        <v>0</v>
      </c>
      <c r="Q16" s="4">
        <f>IF(ISNUMBER(VLOOKUP("1.2.1",A7:Q107,17,FALSE)),ROUND(VLOOKUP("1.2.1",A7:Q107,17,FALSE),4),0) + IF(ISNUMBER(VLOOKUP("1.2.2",A7:Q107,17,FALSE)),ROUND(VLOOKUP("1.2.2",A7:Q107,17,FALSE),4),0) + IF(ISNUMBER(VLOOKUP("1.2.x",A7:Q107,17,FALSE)),ROUND(VLOOKUP("1.2.x",A7:Q107,17,FALSE),4),0)</f>
        <v>0</v>
      </c>
    </row>
    <row r="17" spans="1:17" ht="30" customHeight="1" x14ac:dyDescent="0.25">
      <c r="A17" s="5" t="s">
        <v>37</v>
      </c>
      <c r="B17" s="6" t="s">
        <v>38</v>
      </c>
      <c r="C17" s="7">
        <v>135030.9</v>
      </c>
      <c r="D17" s="7">
        <v>222792.2</v>
      </c>
      <c r="E17" s="7">
        <v>121550</v>
      </c>
      <c r="F17" s="7">
        <v>88881.66</v>
      </c>
      <c r="G17" s="7">
        <v>250970.91</v>
      </c>
      <c r="H17" s="7">
        <v>264072.43</v>
      </c>
      <c r="I17" s="7">
        <v>292417</v>
      </c>
      <c r="J17" s="7">
        <v>292417</v>
      </c>
      <c r="K17" s="8">
        <v>292417</v>
      </c>
      <c r="L17" s="8">
        <v>263348</v>
      </c>
      <c r="M17" s="8">
        <v>118000</v>
      </c>
      <c r="N17" s="8">
        <v>55000</v>
      </c>
      <c r="O17" s="8">
        <v>0</v>
      </c>
      <c r="P17" s="8">
        <v>0</v>
      </c>
      <c r="Q17" s="8">
        <v>0</v>
      </c>
    </row>
    <row r="18" spans="1:17" ht="30" customHeight="1" x14ac:dyDescent="0.25">
      <c r="A18" s="5" t="s">
        <v>39</v>
      </c>
      <c r="B18" s="6" t="s">
        <v>40</v>
      </c>
      <c r="C18" s="7">
        <v>1488125.83</v>
      </c>
      <c r="D18" s="7">
        <v>6943213.5499999998</v>
      </c>
      <c r="E18" s="7">
        <v>3577338.86</v>
      </c>
      <c r="F18" s="7">
        <v>18138485.149999999</v>
      </c>
      <c r="G18" s="7">
        <v>6687961.7199999997</v>
      </c>
      <c r="H18" s="7">
        <v>14784238.279999999</v>
      </c>
      <c r="I18" s="7">
        <v>19313549</v>
      </c>
      <c r="J18" s="7">
        <v>20520549</v>
      </c>
      <c r="K18" s="8">
        <v>15023650</v>
      </c>
      <c r="L18" s="8">
        <v>3942537</v>
      </c>
      <c r="M18" s="8">
        <v>0</v>
      </c>
      <c r="N18" s="8">
        <v>0</v>
      </c>
      <c r="O18" s="8">
        <v>0</v>
      </c>
      <c r="P18" s="8">
        <v>0</v>
      </c>
      <c r="Q18" s="8">
        <v>0</v>
      </c>
    </row>
    <row r="19" spans="1:17" ht="30" customHeight="1" x14ac:dyDescent="0.25">
      <c r="A19" s="5" t="s">
        <v>41</v>
      </c>
      <c r="B19" s="6" t="s">
        <v>34</v>
      </c>
      <c r="C19" s="7"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  <c r="P19" s="8">
        <v>0</v>
      </c>
      <c r="Q19" s="8">
        <v>0</v>
      </c>
    </row>
    <row r="20" spans="1:17" ht="30" customHeight="1" x14ac:dyDescent="0.25">
      <c r="A20" s="1" t="s">
        <v>42</v>
      </c>
      <c r="B20" s="2" t="s">
        <v>43</v>
      </c>
      <c r="C20" s="3">
        <f>IF(ISNUMBER(VLOOKUP("2.1",A7:Q107,3,FALSE)),ROUND(VLOOKUP("2.1",A7:Q107,3,FALSE),4),0) + IF(ISNUMBER(VLOOKUP("2.2",A7:Q107,3,FALSE)),ROUND(VLOOKUP("2.2",A7:Q107,3,FALSE),4),0)</f>
        <v>71460309.189999998</v>
      </c>
      <c r="D20" s="3">
        <f>IF(ISNUMBER(VLOOKUP("2.1",A7:Q107,4,FALSE)),ROUND(VLOOKUP("2.1",A7:Q107,4,FALSE),4),0) + IF(ISNUMBER(VLOOKUP("2.2",A7:Q107,4,FALSE)),ROUND(VLOOKUP("2.2",A7:Q107,4,FALSE),4),0)</f>
        <v>78442805.5</v>
      </c>
      <c r="E20" s="3">
        <f>IF(ISNUMBER(VLOOKUP("2.1",A7:Q107,5,FALSE)),ROUND(VLOOKUP("2.1",A7:Q107,5,FALSE),4),0) + IF(ISNUMBER(VLOOKUP("2.2",A7:Q107,5,FALSE)),ROUND(VLOOKUP("2.2",A7:Q107,5,FALSE),4),0)</f>
        <v>84356614.010000005</v>
      </c>
      <c r="F20" s="3">
        <f>IF(ISNUMBER(VLOOKUP("2.1",A7:Q107,6,FALSE)),ROUND(VLOOKUP("2.1",A7:Q107,6,FALSE),4),0) + IF(ISNUMBER(VLOOKUP("2.2",A7:Q107,6,FALSE)),ROUND(VLOOKUP("2.2",A7:Q107,6,FALSE),4),0)</f>
        <v>108755436.34999999</v>
      </c>
      <c r="G20" s="3">
        <f>IF(ISNUMBER(VLOOKUP("2.1",A7:Q107,7,FALSE)),ROUND(VLOOKUP("2.1",A7:Q107,7,FALSE),4),0) + IF(ISNUMBER(VLOOKUP("2.2",A7:Q107,7,FALSE)),ROUND(VLOOKUP("2.2",A7:Q107,7,FALSE),4),0)</f>
        <v>108672711.05000001</v>
      </c>
      <c r="H20" s="3">
        <f>IF(ISNUMBER(VLOOKUP("2.1",A7:Q107,8,FALSE)),ROUND(VLOOKUP("2.1",A7:Q107,8,FALSE),4),0) + IF(ISNUMBER(VLOOKUP("2.2",A7:Q107,8,FALSE)),ROUND(VLOOKUP("2.2",A7:Q107,8,FALSE),4),0)</f>
        <v>138322564.72</v>
      </c>
      <c r="I20" s="3">
        <f>IF(ISNUMBER(VLOOKUP("2.1",A7:Q107,9,FALSE)),ROUND(VLOOKUP("2.1",A7:Q107,9,FALSE),4),0) + IF(ISNUMBER(VLOOKUP("2.2",A7:Q107,9,FALSE)),ROUND(VLOOKUP("2.2",A7:Q107,9,FALSE),4),0)</f>
        <v>153970951.16</v>
      </c>
      <c r="J20" s="3">
        <f>IF(ISNUMBER(VLOOKUP("2.1",A7:Q107,10,FALSE)),ROUND(VLOOKUP("2.1",A7:Q107,10,FALSE),4),0) + IF(ISNUMBER(VLOOKUP("2.2",A7:Q107,10,FALSE)),ROUND(VLOOKUP("2.2",A7:Q107,10,FALSE),4),0)</f>
        <v>157719833.92000002</v>
      </c>
      <c r="K20" s="4">
        <f>IF(ISNUMBER(VLOOKUP("2.1",A7:Q107,11,FALSE)),ROUND(VLOOKUP("2.1",A7:Q107,11,FALSE),4),0) + IF(ISNUMBER(VLOOKUP("2.2",A7:Q107,11,FALSE)),ROUND(VLOOKUP("2.2",A7:Q107,11,FALSE),4),0)</f>
        <v>153199962</v>
      </c>
      <c r="L20" s="4">
        <f>IF(ISNUMBER(VLOOKUP("2.1",A7:Q107,12,FALSE)),ROUND(VLOOKUP("2.1",A7:Q107,12,FALSE),4),0) + IF(ISNUMBER(VLOOKUP("2.2",A7:Q107,12,FALSE)),ROUND(VLOOKUP("2.2",A7:Q107,12,FALSE),4),0)</f>
        <v>144809264</v>
      </c>
      <c r="M20" s="4">
        <f>IF(ISNUMBER(VLOOKUP("2.1",A7:Q107,13,FALSE)),ROUND(VLOOKUP("2.1",A7:Q107,13,FALSE),4),0) + IF(ISNUMBER(VLOOKUP("2.2",A7:Q107,13,FALSE)),ROUND(VLOOKUP("2.2",A7:Q107,13,FALSE),4),0)</f>
        <v>145006849</v>
      </c>
      <c r="N20" s="4">
        <f>IF(ISNUMBER(VLOOKUP("2.1",A7:Q107,14,FALSE)),ROUND(VLOOKUP("2.1",A7:Q107,14,FALSE),4),0) + IF(ISNUMBER(VLOOKUP("2.2",A7:Q107,14,FALSE)),ROUND(VLOOKUP("2.2",A7:Q107,14,FALSE),4),0)</f>
        <v>148755768</v>
      </c>
      <c r="O20" s="4">
        <f>IF(ISNUMBER(VLOOKUP("2.1",A7:Q107,15,FALSE)),ROUND(VLOOKUP("2.1",A7:Q107,15,FALSE),4),0) + IF(ISNUMBER(VLOOKUP("2.2",A7:Q107,15,FALSE)),ROUND(VLOOKUP("2.2",A7:Q107,15,FALSE),4),0)</f>
        <v>152584140</v>
      </c>
      <c r="P20" s="4">
        <f>IF(ISNUMBER(VLOOKUP("2.1",A7:Q107,16,FALSE)),ROUND(VLOOKUP("2.1",A7:Q107,16,FALSE),4),0) + IF(ISNUMBER(VLOOKUP("2.2",A7:Q107,16,FALSE)),ROUND(VLOOKUP("2.2",A7:Q107,16,FALSE),4),0)</f>
        <v>156548588</v>
      </c>
      <c r="Q20" s="4">
        <f>IF(ISNUMBER(VLOOKUP("2.1",A7:Q107,17,FALSE)),ROUND(VLOOKUP("2.1",A7:Q107,17,FALSE),4),0) + IF(ISNUMBER(VLOOKUP("2.2",A7:Q107,17,FALSE)),ROUND(VLOOKUP("2.2",A7:Q107,17,FALSE),4),0)</f>
        <v>160316223</v>
      </c>
    </row>
    <row r="21" spans="1:17" ht="30" customHeight="1" x14ac:dyDescent="0.25">
      <c r="A21" s="1" t="s">
        <v>44</v>
      </c>
      <c r="B21" s="2" t="s">
        <v>45</v>
      </c>
      <c r="C21" s="3">
        <f>IF(ISNUMBER(VLOOKUP("2.1.1",A7:Q107,3,FALSE)),ROUND(VLOOKUP("2.1.1",A7:Q107,3,FALSE),4),0) + IF(ISNUMBER(VLOOKUP("2.1.2",A7:Q107,3,FALSE)),ROUND(VLOOKUP("2.1.2",A7:Q107,3,FALSE),4),0) + IF(ISNUMBER(VLOOKUP("2.1.3",A7:Q107,3,FALSE)),ROUND(VLOOKUP("2.1.3",A7:Q107,3,FALSE),4),0) + IF(ISNUMBER(VLOOKUP("2.1.x",A7:Q107,3,FALSE)),ROUND(VLOOKUP("2.1.x",A7:Q107,3,FALSE),4),0)</f>
        <v>65877258.910000004</v>
      </c>
      <c r="D21" s="3">
        <f>IF(ISNUMBER(VLOOKUP("2.1.1",A7:Q107,4,FALSE)),ROUND(VLOOKUP("2.1.1",A7:Q107,4,FALSE),4),0) + IF(ISNUMBER(VLOOKUP("2.1.2",A7:Q107,4,FALSE)),ROUND(VLOOKUP("2.1.2",A7:Q107,4,FALSE),4),0) + IF(ISNUMBER(VLOOKUP("2.1.3",A7:Q107,4,FALSE)),ROUND(VLOOKUP("2.1.3",A7:Q107,4,FALSE),4),0) + IF(ISNUMBER(VLOOKUP("2.1.x",A7:Q107,4,FALSE)),ROUND(VLOOKUP("2.1.x",A7:Q107,4,FALSE),4),0)</f>
        <v>71703717.849999994</v>
      </c>
      <c r="E21" s="3">
        <f>IF(ISNUMBER(VLOOKUP("2.1.1",A7:Q107,5,FALSE)),ROUND(VLOOKUP("2.1.1",A7:Q107,5,FALSE),4),0) + IF(ISNUMBER(VLOOKUP("2.1.2",A7:Q107,5,FALSE)),ROUND(VLOOKUP("2.1.2",A7:Q107,5,FALSE),4),0) + IF(ISNUMBER(VLOOKUP("2.1.3",A7:Q107,5,FALSE)),ROUND(VLOOKUP("2.1.3",A7:Q107,5,FALSE),4),0) + IF(ISNUMBER(VLOOKUP("2.1.x",A7:Q107,5,FALSE)),ROUND(VLOOKUP("2.1.x",A7:Q107,5,FALSE),4),0)</f>
        <v>77245199.679999992</v>
      </c>
      <c r="F21" s="3">
        <f>IF(ISNUMBER(VLOOKUP("2.1.1",A7:Q107,6,FALSE)),ROUND(VLOOKUP("2.1.1",A7:Q107,6,FALSE),4),0) + IF(ISNUMBER(VLOOKUP("2.1.2",A7:Q107,6,FALSE)),ROUND(VLOOKUP("2.1.2",A7:Q107,6,FALSE),4),0) + IF(ISNUMBER(VLOOKUP("2.1.3",A7:Q107,6,FALSE)),ROUND(VLOOKUP("2.1.3",A7:Q107,6,FALSE),4),0) + IF(ISNUMBER(VLOOKUP("2.1.x",A7:Q107,6,FALSE)),ROUND(VLOOKUP("2.1.x",A7:Q107,6,FALSE),4),0)</f>
        <v>85365571.350000009</v>
      </c>
      <c r="G21" s="3">
        <f>IF(ISNUMBER(VLOOKUP("2.1.1",A7:Q107,7,FALSE)),ROUND(VLOOKUP("2.1.1",A7:Q107,7,FALSE),4),0) + IF(ISNUMBER(VLOOKUP("2.1.2",A7:Q107,7,FALSE)),ROUND(VLOOKUP("2.1.2",A7:Q107,7,FALSE),4),0) + IF(ISNUMBER(VLOOKUP("2.1.3",A7:Q107,7,FALSE)),ROUND(VLOOKUP("2.1.3",A7:Q107,7,FALSE),4),0) + IF(ISNUMBER(VLOOKUP("2.1.x",A7:Q107,7,FALSE)),ROUND(VLOOKUP("2.1.x",A7:Q107,7,FALSE),4),0)</f>
        <v>92877104.120000005</v>
      </c>
      <c r="H21" s="3">
        <f>IF(ISNUMBER(VLOOKUP("2.1.1",A7:Q107,8,FALSE)),ROUND(VLOOKUP("2.1.1",A7:Q107,8,FALSE),4),0) + IF(ISNUMBER(VLOOKUP("2.1.2",A7:Q107,8,FALSE)),ROUND(VLOOKUP("2.1.2",A7:Q107,8,FALSE),4),0) + IF(ISNUMBER(VLOOKUP("2.1.3",A7:Q107,8,FALSE)),ROUND(VLOOKUP("2.1.3",A7:Q107,8,FALSE),4),0) + IF(ISNUMBER(VLOOKUP("2.1.x",A7:Q107,8,FALSE)),ROUND(VLOOKUP("2.1.x",A7:Q107,8,FALSE),4),0)</f>
        <v>113609301.66</v>
      </c>
      <c r="I21" s="3">
        <f>IF(ISNUMBER(VLOOKUP("2.1.1",A7:Q107,9,FALSE)),ROUND(VLOOKUP("2.1.1",A7:Q107,9,FALSE),4),0) + IF(ISNUMBER(VLOOKUP("2.1.2",A7:Q107,9,FALSE)),ROUND(VLOOKUP("2.1.2",A7:Q107,9,FALSE),4),0) + IF(ISNUMBER(VLOOKUP("2.1.3",A7:Q107,9,FALSE)),ROUND(VLOOKUP("2.1.3",A7:Q107,9,FALSE),4),0) + IF(ISNUMBER(VLOOKUP("2.1.x",A7:Q107,9,FALSE)),ROUND(VLOOKUP("2.1.x",A7:Q107,9,FALSE),4),0)</f>
        <v>128276220.16</v>
      </c>
      <c r="J21" s="3">
        <f>IF(ISNUMBER(VLOOKUP("2.1.1",A7:Q107,10,FALSE)),ROUND(VLOOKUP("2.1.1",A7:Q107,10,FALSE),4),0) + IF(ISNUMBER(VLOOKUP("2.1.2",A7:Q107,10,FALSE)),ROUND(VLOOKUP("2.1.2",A7:Q107,10,FALSE),4),0) + IF(ISNUMBER(VLOOKUP("2.1.3",A7:Q107,10,FALSE)),ROUND(VLOOKUP("2.1.3",A7:Q107,10,FALSE),4),0) + IF(ISNUMBER(VLOOKUP("2.1.x",A7:Q107,10,FALSE)),ROUND(VLOOKUP("2.1.x",A7:Q107,10,FALSE),4),0)</f>
        <v>130574602.91999999</v>
      </c>
      <c r="K21" s="4">
        <f>IF(ISNUMBER(VLOOKUP("2.1.1",A7:Q107,11,FALSE)),ROUND(VLOOKUP("2.1.1",A7:Q107,11,FALSE),4),0) + IF(ISNUMBER(VLOOKUP("2.1.2",A7:Q107,11,FALSE)),ROUND(VLOOKUP("2.1.2",A7:Q107,11,FALSE),4),0) + IF(ISNUMBER(VLOOKUP("2.1.3",A7:Q107,11,FALSE)),ROUND(VLOOKUP("2.1.3",A7:Q107,11,FALSE),4),0) + IF(ISNUMBER(VLOOKUP("2.1.x",A7:Q107,11,FALSE)),ROUND(VLOOKUP("2.1.x",A7:Q107,11,FALSE),4),0)</f>
        <v>130360144</v>
      </c>
      <c r="L21" s="4">
        <f>IF(ISNUMBER(VLOOKUP("2.1.1",A7:Q107,12,FALSE)),ROUND(VLOOKUP("2.1.1",A7:Q107,12,FALSE),4),0) + IF(ISNUMBER(VLOOKUP("2.1.2",A7:Q107,12,FALSE)),ROUND(VLOOKUP("2.1.2",A7:Q107,12,FALSE),4),0) + IF(ISNUMBER(VLOOKUP("2.1.3",A7:Q107,12,FALSE)),ROUND(VLOOKUP("2.1.3",A7:Q107,12,FALSE),4),0) + IF(ISNUMBER(VLOOKUP("2.1.x",A7:Q107,12,FALSE)),ROUND(VLOOKUP("2.1.x",A7:Q107,12,FALSE),4),0)</f>
        <v>133863768</v>
      </c>
      <c r="M21" s="4">
        <f>IF(ISNUMBER(VLOOKUP("2.1.1",A7:Q107,13,FALSE)),ROUND(VLOOKUP("2.1.1",A7:Q107,13,FALSE),4),0) + IF(ISNUMBER(VLOOKUP("2.1.2",A7:Q107,13,FALSE)),ROUND(VLOOKUP("2.1.2",A7:Q107,13,FALSE),4),0) + IF(ISNUMBER(VLOOKUP("2.1.3",A7:Q107,13,FALSE)),ROUND(VLOOKUP("2.1.3",A7:Q107,13,FALSE),4),0) + IF(ISNUMBER(VLOOKUP("2.1.x",A7:Q107,13,FALSE)),ROUND(VLOOKUP("2.1.x",A7:Q107,13,FALSE),4),0)</f>
        <v>137341772</v>
      </c>
      <c r="N21" s="4">
        <f>IF(ISNUMBER(VLOOKUP("2.1.1",A7:Q107,14,FALSE)),ROUND(VLOOKUP("2.1.1",A7:Q107,14,FALSE),4),0) + IF(ISNUMBER(VLOOKUP("2.1.2",A7:Q107,14,FALSE)),ROUND(VLOOKUP("2.1.2",A7:Q107,14,FALSE),4),0) + IF(ISNUMBER(VLOOKUP("2.1.3",A7:Q107,14,FALSE)),ROUND(VLOOKUP("2.1.3",A7:Q107,14,FALSE),4),0) + IF(ISNUMBER(VLOOKUP("2.1.x",A7:Q107,14,FALSE)),ROUND(VLOOKUP("2.1.x",A7:Q107,14,FALSE),4),0)</f>
        <v>140788878</v>
      </c>
      <c r="O21" s="4">
        <f>IF(ISNUMBER(VLOOKUP("2.1.1",A7:Q107,15,FALSE)),ROUND(VLOOKUP("2.1.1",A7:Q107,15,FALSE),4),0) + IF(ISNUMBER(VLOOKUP("2.1.2",A7:Q107,15,FALSE)),ROUND(VLOOKUP("2.1.2",A7:Q107,15,FALSE),4),0) + IF(ISNUMBER(VLOOKUP("2.1.3",A7:Q107,15,FALSE)),ROUND(VLOOKUP("2.1.3",A7:Q107,15,FALSE),4),0) + IF(ISNUMBER(VLOOKUP("2.1.x",A7:Q107,15,FALSE)),ROUND(VLOOKUP("2.1.x",A7:Q107,15,FALSE),4),0)</f>
        <v>144328469</v>
      </c>
      <c r="P21" s="4">
        <f>IF(ISNUMBER(VLOOKUP("2.1.1",A7:Q107,16,FALSE)),ROUND(VLOOKUP("2.1.1",A7:Q107,16,FALSE),4),0) + IF(ISNUMBER(VLOOKUP("2.1.2",A7:Q107,16,FALSE)),ROUND(VLOOKUP("2.1.2",A7:Q107,16,FALSE),4),0) + IF(ISNUMBER(VLOOKUP("2.1.3",A7:Q107,16,FALSE)),ROUND(VLOOKUP("2.1.3",A7:Q107,16,FALSE),4),0) + IF(ISNUMBER(VLOOKUP("2.1.x",A7:Q107,16,FALSE)),ROUND(VLOOKUP("2.1.x",A7:Q107,16,FALSE),4),0)</f>
        <v>147818930</v>
      </c>
      <c r="Q21" s="4">
        <f>IF(ISNUMBER(VLOOKUP("2.1.1",A7:Q107,17,FALSE)),ROUND(VLOOKUP("2.1.1",A7:Q107,17,FALSE),4),0) + IF(ISNUMBER(VLOOKUP("2.1.2",A7:Q107,17,FALSE)),ROUND(VLOOKUP("2.1.2",A7:Q107,17,FALSE),4),0) + IF(ISNUMBER(VLOOKUP("2.1.3",A7:Q107,17,FALSE)),ROUND(VLOOKUP("2.1.3",A7:Q107,17,FALSE),4),0) + IF(ISNUMBER(VLOOKUP("2.1.x",A7:Q107,17,FALSE)),ROUND(VLOOKUP("2.1.x",A7:Q107,17,FALSE),4),0)</f>
        <v>151261784</v>
      </c>
    </row>
    <row r="22" spans="1:17" ht="30" customHeight="1" x14ac:dyDescent="0.25">
      <c r="A22" s="5" t="s">
        <v>46</v>
      </c>
      <c r="B22" s="6" t="s">
        <v>47</v>
      </c>
      <c r="C22" s="7">
        <v>41876718.600000001</v>
      </c>
      <c r="D22" s="7">
        <v>46107373.159999996</v>
      </c>
      <c r="E22" s="7">
        <v>49748776.869999997</v>
      </c>
      <c r="F22" s="7">
        <v>53151218.770000003</v>
      </c>
      <c r="G22" s="7">
        <v>59740482.469999999</v>
      </c>
      <c r="H22" s="7">
        <v>74587704.640000001</v>
      </c>
      <c r="I22" s="7">
        <v>81358324.349999994</v>
      </c>
      <c r="J22" s="7">
        <v>80821217.349999994</v>
      </c>
      <c r="K22" s="8">
        <v>81640733</v>
      </c>
      <c r="L22" s="8">
        <v>83926674</v>
      </c>
      <c r="M22" s="8">
        <v>86192694</v>
      </c>
      <c r="N22" s="8">
        <v>88433704</v>
      </c>
      <c r="O22" s="8">
        <v>90732980</v>
      </c>
      <c r="P22" s="8">
        <v>93001304</v>
      </c>
      <c r="Q22" s="8">
        <v>95233335</v>
      </c>
    </row>
    <row r="23" spans="1:17" ht="30" customHeight="1" x14ac:dyDescent="0.25">
      <c r="A23" s="5" t="s">
        <v>48</v>
      </c>
      <c r="B23" s="6" t="s">
        <v>49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10">
        <v>0</v>
      </c>
      <c r="L23" s="10">
        <v>0</v>
      </c>
      <c r="M23" s="10">
        <v>0</v>
      </c>
      <c r="N23" s="10">
        <v>0</v>
      </c>
      <c r="O23" s="10">
        <v>0</v>
      </c>
      <c r="P23" s="10">
        <v>0</v>
      </c>
      <c r="Q23" s="10">
        <v>0</v>
      </c>
    </row>
    <row r="24" spans="1:17" ht="50.1" customHeight="1" x14ac:dyDescent="0.25">
      <c r="A24" s="5" t="s">
        <v>50</v>
      </c>
      <c r="B24" s="6" t="s">
        <v>51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10">
        <v>0</v>
      </c>
      <c r="L24" s="10">
        <v>0</v>
      </c>
      <c r="M24" s="10">
        <v>0</v>
      </c>
      <c r="N24" s="10">
        <v>0</v>
      </c>
      <c r="O24" s="10">
        <v>0</v>
      </c>
      <c r="P24" s="10">
        <v>0</v>
      </c>
      <c r="Q24" s="10">
        <v>0</v>
      </c>
    </row>
    <row r="25" spans="1:17" ht="30" customHeight="1" x14ac:dyDescent="0.25">
      <c r="A25" s="5" t="s">
        <v>52</v>
      </c>
      <c r="B25" s="6" t="s">
        <v>53</v>
      </c>
      <c r="C25" s="9">
        <v>231841.6</v>
      </c>
      <c r="D25" s="9">
        <v>117188.31</v>
      </c>
      <c r="E25" s="9">
        <v>72394.05</v>
      </c>
      <c r="F25" s="9">
        <v>291679.42</v>
      </c>
      <c r="G25" s="9">
        <v>489181.92</v>
      </c>
      <c r="H25" s="9">
        <v>619111.1</v>
      </c>
      <c r="I25" s="9">
        <v>898400</v>
      </c>
      <c r="J25" s="9">
        <v>898400</v>
      </c>
      <c r="K25" s="10">
        <v>773600</v>
      </c>
      <c r="L25" s="10">
        <v>648800</v>
      </c>
      <c r="M25" s="10">
        <v>530000</v>
      </c>
      <c r="N25" s="10">
        <v>420000</v>
      </c>
      <c r="O25" s="10">
        <v>310000</v>
      </c>
      <c r="P25" s="10">
        <v>200000</v>
      </c>
      <c r="Q25" s="10">
        <v>100000</v>
      </c>
    </row>
    <row r="26" spans="1:17" ht="30" customHeight="1" x14ac:dyDescent="0.25">
      <c r="A26" s="5" t="s">
        <v>54</v>
      </c>
      <c r="B26" s="6" t="s">
        <v>55</v>
      </c>
      <c r="C26" s="9">
        <v>231841.6</v>
      </c>
      <c r="D26" s="9">
        <v>117188.31</v>
      </c>
      <c r="E26" s="9">
        <v>72394.05</v>
      </c>
      <c r="F26" s="9">
        <v>291679.42</v>
      </c>
      <c r="G26" s="9">
        <v>489181.92</v>
      </c>
      <c r="H26" s="9">
        <v>619111.1</v>
      </c>
      <c r="I26" s="9">
        <v>898400</v>
      </c>
      <c r="J26" s="9">
        <v>898400</v>
      </c>
      <c r="K26" s="10">
        <v>773600</v>
      </c>
      <c r="L26" s="10">
        <v>648800</v>
      </c>
      <c r="M26" s="10">
        <v>530000</v>
      </c>
      <c r="N26" s="10">
        <v>420000</v>
      </c>
      <c r="O26" s="10">
        <v>310000</v>
      </c>
      <c r="P26" s="10">
        <v>200000</v>
      </c>
      <c r="Q26" s="10">
        <v>100000</v>
      </c>
    </row>
    <row r="27" spans="1:17" ht="74.25" customHeight="1" x14ac:dyDescent="0.25">
      <c r="A27" s="5" t="s">
        <v>56</v>
      </c>
      <c r="B27" s="6" t="s">
        <v>57</v>
      </c>
      <c r="C27" s="9">
        <v>0</v>
      </c>
      <c r="D27" s="9">
        <v>0</v>
      </c>
      <c r="E27" s="9">
        <v>0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10">
        <v>0</v>
      </c>
      <c r="L27" s="10">
        <v>0</v>
      </c>
      <c r="M27" s="10">
        <v>0</v>
      </c>
      <c r="N27" s="10">
        <v>0</v>
      </c>
      <c r="O27" s="10">
        <v>0</v>
      </c>
      <c r="P27" s="10">
        <v>0</v>
      </c>
      <c r="Q27" s="10">
        <v>0</v>
      </c>
    </row>
    <row r="28" spans="1:17" ht="51.75" customHeight="1" x14ac:dyDescent="0.25">
      <c r="A28" s="5" t="s">
        <v>58</v>
      </c>
      <c r="B28" s="6" t="s">
        <v>59</v>
      </c>
      <c r="C28" s="9">
        <v>0</v>
      </c>
      <c r="D28" s="9">
        <v>0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10">
        <v>0</v>
      </c>
      <c r="L28" s="10">
        <v>0</v>
      </c>
      <c r="M28" s="10">
        <v>0</v>
      </c>
      <c r="N28" s="10">
        <v>0</v>
      </c>
      <c r="O28" s="10">
        <v>0</v>
      </c>
      <c r="P28" s="10">
        <v>0</v>
      </c>
      <c r="Q28" s="10">
        <v>0</v>
      </c>
    </row>
    <row r="29" spans="1:17" ht="54.75" customHeight="1" x14ac:dyDescent="0.25">
      <c r="A29" s="5" t="s">
        <v>60</v>
      </c>
      <c r="B29" s="6" t="s">
        <v>61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10">
        <v>0</v>
      </c>
      <c r="L29" s="10">
        <v>0</v>
      </c>
      <c r="M29" s="10">
        <v>0</v>
      </c>
      <c r="N29" s="10">
        <v>0</v>
      </c>
      <c r="O29" s="10">
        <v>0</v>
      </c>
      <c r="P29" s="10">
        <v>0</v>
      </c>
      <c r="Q29" s="10">
        <v>0</v>
      </c>
    </row>
    <row r="30" spans="1:17" ht="30" customHeight="1" x14ac:dyDescent="0.25">
      <c r="A30" s="5" t="s">
        <v>62</v>
      </c>
      <c r="B30" s="6" t="s">
        <v>34</v>
      </c>
      <c r="C30" s="7">
        <v>23768698.710000001</v>
      </c>
      <c r="D30" s="7">
        <v>25479156.379999999</v>
      </c>
      <c r="E30" s="7">
        <v>27424028.760000002</v>
      </c>
      <c r="F30" s="7">
        <v>31922673.16</v>
      </c>
      <c r="G30" s="7">
        <v>32647439.73</v>
      </c>
      <c r="H30" s="7">
        <v>38402485.920000002</v>
      </c>
      <c r="I30" s="7">
        <v>46019495.810000002</v>
      </c>
      <c r="J30" s="7">
        <v>48854985.57</v>
      </c>
      <c r="K30" s="8">
        <v>47945811</v>
      </c>
      <c r="L30" s="8">
        <v>49288294</v>
      </c>
      <c r="M30" s="8">
        <v>50619078</v>
      </c>
      <c r="N30" s="8">
        <v>51935174</v>
      </c>
      <c r="O30" s="8">
        <v>53285489</v>
      </c>
      <c r="P30" s="8">
        <v>54617626</v>
      </c>
      <c r="Q30" s="8">
        <v>55928449</v>
      </c>
    </row>
    <row r="31" spans="1:17" ht="30" customHeight="1" x14ac:dyDescent="0.25">
      <c r="A31" s="1" t="s">
        <v>63</v>
      </c>
      <c r="B31" s="2" t="s">
        <v>64</v>
      </c>
      <c r="C31" s="3">
        <f>IF(ISNUMBER(VLOOKUP("2.2.1",A7:Q107,3,FALSE)),ROUND(VLOOKUP("2.2.1",A7:Q107,3,FALSE),4),0) + IF(ISNUMBER(VLOOKUP("2.2.x",A7:Q107,3,FALSE)),ROUND(VLOOKUP("2.2.x",A7:Q107,3,FALSE),4),0)</f>
        <v>5583050.2800000003</v>
      </c>
      <c r="D31" s="3">
        <f>IF(ISNUMBER(VLOOKUP("2.2.1",A7:Q107,4,FALSE)),ROUND(VLOOKUP("2.2.1",A7:Q107,4,FALSE),4),0) + IF(ISNUMBER(VLOOKUP("2.2.x",A7:Q107,4,FALSE)),ROUND(VLOOKUP("2.2.x",A7:Q107,4,FALSE),4),0)</f>
        <v>6739087.6500000004</v>
      </c>
      <c r="E31" s="3">
        <f>IF(ISNUMBER(VLOOKUP("2.2.1",A7:Q107,5,FALSE)),ROUND(VLOOKUP("2.2.1",A7:Q107,5,FALSE),4),0) + IF(ISNUMBER(VLOOKUP("2.2.x",A7:Q107,5,FALSE)),ROUND(VLOOKUP("2.2.x",A7:Q107,5,FALSE),4),0)</f>
        <v>7111414.3300000001</v>
      </c>
      <c r="F31" s="3">
        <f>IF(ISNUMBER(VLOOKUP("2.2.1",A7:Q107,6,FALSE)),ROUND(VLOOKUP("2.2.1",A7:Q107,6,FALSE),4),0) + IF(ISNUMBER(VLOOKUP("2.2.x",A7:Q107,6,FALSE)),ROUND(VLOOKUP("2.2.x",A7:Q107,6,FALSE),4),0)</f>
        <v>23389865</v>
      </c>
      <c r="G31" s="3">
        <f>IF(ISNUMBER(VLOOKUP("2.2.1",A7:Q107,7,FALSE)),ROUND(VLOOKUP("2.2.1",A7:Q107,7,FALSE),4),0) + IF(ISNUMBER(VLOOKUP("2.2.x",A7:Q107,7,FALSE)),ROUND(VLOOKUP("2.2.x",A7:Q107,7,FALSE),4),0)</f>
        <v>15795606.93</v>
      </c>
      <c r="H31" s="3">
        <f>IF(ISNUMBER(VLOOKUP("2.2.1",A7:Q107,8,FALSE)),ROUND(VLOOKUP("2.2.1",A7:Q107,8,FALSE),4),0) + IF(ISNUMBER(VLOOKUP("2.2.x",A7:Q107,8,FALSE)),ROUND(VLOOKUP("2.2.x",A7:Q107,8,FALSE),4),0)</f>
        <v>24713263.059999999</v>
      </c>
      <c r="I31" s="3">
        <f>IF(ISNUMBER(VLOOKUP("2.2.1",A7:Q107,9,FALSE)),ROUND(VLOOKUP("2.2.1",A7:Q107,9,FALSE),4),0) + IF(ISNUMBER(VLOOKUP("2.2.x",A7:Q107,9,FALSE)),ROUND(VLOOKUP("2.2.x",A7:Q107,9,FALSE),4),0)</f>
        <v>25694731</v>
      </c>
      <c r="J31" s="3">
        <f>IF(ISNUMBER(VLOOKUP("2.2.1",A7:Q107,10,FALSE)),ROUND(VLOOKUP("2.2.1",A7:Q107,10,FALSE),4),0) + IF(ISNUMBER(VLOOKUP("2.2.x",A7:Q107,10,FALSE)),ROUND(VLOOKUP("2.2.x",A7:Q107,10,FALSE),4),0)</f>
        <v>27145231</v>
      </c>
      <c r="K31" s="4">
        <f>IF(ISNUMBER(VLOOKUP("2.2.1",A7:Q107,11,FALSE)),ROUND(VLOOKUP("2.2.1",A7:Q107,11,FALSE),4),0) + IF(ISNUMBER(VLOOKUP("2.2.x",A7:Q107,11,FALSE)),ROUND(VLOOKUP("2.2.x",A7:Q107,11,FALSE),4),0)</f>
        <v>22839818</v>
      </c>
      <c r="L31" s="4">
        <f>IF(ISNUMBER(VLOOKUP("2.2.1",A7:Q107,12,FALSE)),ROUND(VLOOKUP("2.2.1",A7:Q107,12,FALSE),4),0) + IF(ISNUMBER(VLOOKUP("2.2.x",A7:Q107,12,FALSE)),ROUND(VLOOKUP("2.2.x",A7:Q107,12,FALSE),4),0)</f>
        <v>10945496</v>
      </c>
      <c r="M31" s="4">
        <f>IF(ISNUMBER(VLOOKUP("2.2.1",A7:Q107,13,FALSE)),ROUND(VLOOKUP("2.2.1",A7:Q107,13,FALSE),4),0) + IF(ISNUMBER(VLOOKUP("2.2.x",A7:Q107,13,FALSE)),ROUND(VLOOKUP("2.2.x",A7:Q107,13,FALSE),4),0)</f>
        <v>7665077</v>
      </c>
      <c r="N31" s="4">
        <f>IF(ISNUMBER(VLOOKUP("2.2.1",A7:Q107,14,FALSE)),ROUND(VLOOKUP("2.2.1",A7:Q107,14,FALSE),4),0) + IF(ISNUMBER(VLOOKUP("2.2.x",A7:Q107,14,FALSE)),ROUND(VLOOKUP("2.2.x",A7:Q107,14,FALSE),4),0)</f>
        <v>7966890</v>
      </c>
      <c r="O31" s="4">
        <f>IF(ISNUMBER(VLOOKUP("2.2.1",A7:Q107,15,FALSE)),ROUND(VLOOKUP("2.2.1",A7:Q107,15,FALSE),4),0) + IF(ISNUMBER(VLOOKUP("2.2.x",A7:Q107,15,FALSE)),ROUND(VLOOKUP("2.2.x",A7:Q107,15,FALSE),4),0)</f>
        <v>8255671</v>
      </c>
      <c r="P31" s="4">
        <f>IF(ISNUMBER(VLOOKUP("2.2.1",A7:Q107,16,FALSE)),ROUND(VLOOKUP("2.2.1",A7:Q107,16,FALSE),4),0) + IF(ISNUMBER(VLOOKUP("2.2.x",A7:Q107,16,FALSE)),ROUND(VLOOKUP("2.2.x",A7:Q107,16,FALSE),4),0)</f>
        <v>8729658</v>
      </c>
      <c r="Q31" s="4">
        <f>IF(ISNUMBER(VLOOKUP("2.2.1",A7:Q107,17,FALSE)),ROUND(VLOOKUP("2.2.1",A7:Q107,17,FALSE),4),0) + IF(ISNUMBER(VLOOKUP("2.2.x",A7:Q107,17,FALSE)),ROUND(VLOOKUP("2.2.x",A7:Q107,17,FALSE),4),0)</f>
        <v>9054439</v>
      </c>
    </row>
    <row r="32" spans="1:17" ht="43.5" customHeight="1" x14ac:dyDescent="0.25">
      <c r="A32" s="5" t="s">
        <v>65</v>
      </c>
      <c r="B32" s="6" t="s">
        <v>66</v>
      </c>
      <c r="C32" s="7">
        <v>5235050.28</v>
      </c>
      <c r="D32" s="7">
        <v>6739087.6500000004</v>
      </c>
      <c r="E32" s="7">
        <v>7111414.3300000001</v>
      </c>
      <c r="F32" s="7">
        <v>22389865</v>
      </c>
      <c r="G32" s="7">
        <v>15795606.93</v>
      </c>
      <c r="H32" s="7">
        <v>24713263.059999999</v>
      </c>
      <c r="I32" s="7">
        <v>25694731</v>
      </c>
      <c r="J32" s="7">
        <v>27145231</v>
      </c>
      <c r="K32" s="8">
        <v>22839818</v>
      </c>
      <c r="L32" s="8">
        <v>10945496</v>
      </c>
      <c r="M32" s="8">
        <v>7665077</v>
      </c>
      <c r="N32" s="8">
        <v>7966890</v>
      </c>
      <c r="O32" s="8">
        <v>8255671</v>
      </c>
      <c r="P32" s="8">
        <v>8729658</v>
      </c>
      <c r="Q32" s="8">
        <v>9054439</v>
      </c>
    </row>
    <row r="33" spans="1:17" ht="30" customHeight="1" x14ac:dyDescent="0.25">
      <c r="A33" s="5" t="s">
        <v>67</v>
      </c>
      <c r="B33" s="6" t="s">
        <v>68</v>
      </c>
      <c r="C33" s="7">
        <v>0</v>
      </c>
      <c r="D33" s="7">
        <v>948402.3</v>
      </c>
      <c r="E33" s="7">
        <v>1703885.46</v>
      </c>
      <c r="F33" s="7">
        <v>258076.16</v>
      </c>
      <c r="G33" s="7">
        <v>28455.24</v>
      </c>
      <c r="H33" s="7">
        <v>1061692.82</v>
      </c>
      <c r="I33" s="7">
        <v>2743720</v>
      </c>
      <c r="J33" s="7">
        <v>2743720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  <c r="P33" s="8">
        <v>0</v>
      </c>
      <c r="Q33" s="8">
        <v>0</v>
      </c>
    </row>
    <row r="34" spans="1:17" ht="30" customHeight="1" x14ac:dyDescent="0.25">
      <c r="A34" s="5" t="s">
        <v>69</v>
      </c>
      <c r="B34" s="6" t="s">
        <v>34</v>
      </c>
      <c r="C34" s="7">
        <v>348000</v>
      </c>
      <c r="D34" s="7">
        <v>0</v>
      </c>
      <c r="E34" s="7">
        <v>0</v>
      </c>
      <c r="F34" s="7">
        <v>1000000</v>
      </c>
      <c r="G34" s="7">
        <v>0</v>
      </c>
      <c r="H34" s="7">
        <v>0</v>
      </c>
      <c r="I34" s="7">
        <v>0</v>
      </c>
      <c r="J34" s="7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  <c r="P34" s="8">
        <v>0</v>
      </c>
      <c r="Q34" s="8">
        <v>0</v>
      </c>
    </row>
    <row r="35" spans="1:17" ht="30" customHeight="1" x14ac:dyDescent="0.25">
      <c r="A35" s="1" t="s">
        <v>70</v>
      </c>
      <c r="B35" s="2" t="s">
        <v>71</v>
      </c>
      <c r="C35" s="3">
        <f>IF(ISNUMBER(VLOOKUP("1",A7:Q107,3,FALSE)),ROUND(VLOOKUP("1",A7:Q107,3,FALSE),4),0) - IF(ISNUMBER(VLOOKUP("2",A7:Q107,3,FALSE)),ROUND(VLOOKUP("2",A7:Q107,3,FALSE),4),0)</f>
        <v>1935229.3500000089</v>
      </c>
      <c r="D35" s="3">
        <f>IF(ISNUMBER(VLOOKUP("1",A7:Q107,4,FALSE)),ROUND(VLOOKUP("1",A7:Q107,4,FALSE),4),0) - IF(ISNUMBER(VLOOKUP("2",A7:Q107,4,FALSE)),ROUND(VLOOKUP("2",A7:Q107,4,FALSE),4),0)</f>
        <v>7863917.7300000042</v>
      </c>
      <c r="E35" s="3">
        <f>IF(ISNUMBER(VLOOKUP("1",A7:Q107,5,FALSE)),ROUND(VLOOKUP("1",A7:Q107,5,FALSE),4),0) - IF(ISNUMBER(VLOOKUP("2",A7:Q107,5,FALSE)),ROUND(VLOOKUP("2",A7:Q107,5,FALSE),4),0)</f>
        <v>2688362.4200000018</v>
      </c>
      <c r="F35" s="3">
        <f>IF(ISNUMBER(VLOOKUP("1",A7:Q107,6,FALSE)),ROUND(VLOOKUP("1",A7:Q107,6,FALSE),4),0) - IF(ISNUMBER(VLOOKUP("2",A7:Q107,6,FALSE)),ROUND(VLOOKUP("2",A7:Q107,6,FALSE),4),0)</f>
        <v>2511915.1200000048</v>
      </c>
      <c r="G35" s="3">
        <f>IF(ISNUMBER(VLOOKUP("1",A7:Q107,7,FALSE)),ROUND(VLOOKUP("1",A7:Q107,7,FALSE),4),0) - IF(ISNUMBER(VLOOKUP("2",A7:Q107,7,FALSE)),ROUND(VLOOKUP("2",A7:Q107,7,FALSE),4),0)</f>
        <v>-6685146.700000003</v>
      </c>
      <c r="H35" s="3">
        <f>IF(ISNUMBER(VLOOKUP("1",A7:Q107,8,FALSE)),ROUND(VLOOKUP("1",A7:Q107,8,FALSE),4),0) - IF(ISNUMBER(VLOOKUP("2",A7:Q107,8,FALSE)),ROUND(VLOOKUP("2",A7:Q107,8,FALSE),4),0)</f>
        <v>3790627.0300000012</v>
      </c>
      <c r="I35" s="3">
        <f>IF(ISNUMBER(VLOOKUP("1",A7:Q107,9,FALSE)),ROUND(VLOOKUP("1",A7:Q107,9,FALSE),4),0) - IF(ISNUMBER(VLOOKUP("2",A7:Q107,9,FALSE)),ROUND(VLOOKUP("2",A7:Q107,9,FALSE),4),0)</f>
        <v>283005</v>
      </c>
      <c r="J35" s="3">
        <f>IF(ISNUMBER(VLOOKUP("1",A7:Q107,10,FALSE)),ROUND(VLOOKUP("1",A7:Q107,10,FALSE),4),0) - IF(ISNUMBER(VLOOKUP("2",A7:Q107,10,FALSE)),ROUND(VLOOKUP("2",A7:Q107,10,FALSE),4),0)</f>
        <v>283005</v>
      </c>
      <c r="K35" s="4">
        <f>IF(ISNUMBER(VLOOKUP("1",A7:Q107,11,FALSE)),ROUND(VLOOKUP("1",A7:Q107,11,FALSE),4),0) - IF(ISNUMBER(VLOOKUP("2",A7:Q107,11,FALSE)),ROUND(VLOOKUP("2",A7:Q107,11,FALSE),4),0)</f>
        <v>1560000</v>
      </c>
      <c r="L35" s="4">
        <f>IF(ISNUMBER(VLOOKUP("1",A7:Q107,12,FALSE)),ROUND(VLOOKUP("1",A7:Q107,12,FALSE),4),0) - IF(ISNUMBER(VLOOKUP("2",A7:Q107,12,FALSE)),ROUND(VLOOKUP("2",A7:Q107,12,FALSE),4),0)</f>
        <v>1485000</v>
      </c>
      <c r="M35" s="4">
        <f>IF(ISNUMBER(VLOOKUP("1",A7:Q107,13,FALSE)),ROUND(VLOOKUP("1",A7:Q107,13,FALSE),4),0) - IF(ISNUMBER(VLOOKUP("2",A7:Q107,13,FALSE)),ROUND(VLOOKUP("2",A7:Q107,13,FALSE),4),0)</f>
        <v>1375000</v>
      </c>
      <c r="N35" s="4">
        <f>IF(ISNUMBER(VLOOKUP("1",A7:Q107,14,FALSE)),ROUND(VLOOKUP("1",A7:Q107,14,FALSE),4),0) - IF(ISNUMBER(VLOOKUP("2",A7:Q107,14,FALSE)),ROUND(VLOOKUP("2",A7:Q107,14,FALSE),4),0)</f>
        <v>1375000</v>
      </c>
      <c r="O35" s="4">
        <f>IF(ISNUMBER(VLOOKUP("1",A7:Q107,15,FALSE)),ROUND(VLOOKUP("1",A7:Q107,15,FALSE),4),0) - IF(ISNUMBER(VLOOKUP("2",A7:Q107,15,FALSE)),ROUND(VLOOKUP("2",A7:Q107,15,FALSE),4),0)</f>
        <v>1375000</v>
      </c>
      <c r="P35" s="4">
        <f>IF(ISNUMBER(VLOOKUP("1",A7:Q107,16,FALSE)),ROUND(VLOOKUP("1",A7:Q107,16,FALSE),4),0) - IF(ISNUMBER(VLOOKUP("2",A7:Q107,16,FALSE)),ROUND(VLOOKUP("2",A7:Q107,16,FALSE),4),0)</f>
        <v>1250000</v>
      </c>
      <c r="Q35" s="4">
        <f>IF(ISNUMBER(VLOOKUP("1",A7:Q107,17,FALSE)),ROUND(VLOOKUP("1",A7:Q107,17,FALSE),4),0) - IF(ISNUMBER(VLOOKUP("2",A7:Q107,17,FALSE)),ROUND(VLOOKUP("2",A7:Q107,17,FALSE),4),0)</f>
        <v>1250000</v>
      </c>
    </row>
    <row r="36" spans="1:17" ht="38.25" customHeight="1" x14ac:dyDescent="0.25">
      <c r="A36" s="5" t="s">
        <v>72</v>
      </c>
      <c r="B36" s="6" t="s">
        <v>73</v>
      </c>
      <c r="C36" s="9">
        <f>IF(IF(ISNUMBER(VLOOKUP("3",A7:Q107,3,FALSE)),ROUND(VLOOKUP("3",A7:Q107,3,FALSE),4),0)&gt;0,IF(IF(ISNUMBER(VLOOKUP("3",A7:Q107,3,FALSE)),ROUND(VLOOKUP("3",A7:Q107,3,FALSE),4),0)&gt;IF(ISNUMBER(VLOOKUP("5.1",A7:Q107,3,FALSE)),ROUND(VLOOKUP("5.1",A7:Q107,3,FALSE),4),0),IF(ISNUMBER(VLOOKUP("5.1",A7:Q107,3,FALSE)),ROUND(VLOOKUP("5.1",A7:Q107,3,FALSE),4),0),IF(ISNUMBER(VLOOKUP("3",A7:Q107,3,FALSE)),ROUND(VLOOKUP("3",A7:Q107,3,FALSE),4),0)),0)</f>
        <v>1935229.35</v>
      </c>
      <c r="D36" s="9">
        <f>IF(IF(ISNUMBER(VLOOKUP("3",A7:Q107,4,FALSE)),ROUND(VLOOKUP("3",A7:Q107,4,FALSE),4),0)&gt;0,IF(IF(ISNUMBER(VLOOKUP("3",A7:Q107,4,FALSE)),ROUND(VLOOKUP("3",A7:Q107,4,FALSE),4),0)&gt;IF(ISNUMBER(VLOOKUP("5.1",A7:Q107,4,FALSE)),ROUND(VLOOKUP("5.1",A7:Q107,4,FALSE),4),0),IF(ISNUMBER(VLOOKUP("5.1",A7:Q107,4,FALSE)),ROUND(VLOOKUP("5.1",A7:Q107,4,FALSE),4),0),IF(ISNUMBER(VLOOKUP("3",A7:Q107,4,FALSE)),ROUND(VLOOKUP("3",A7:Q107,4,FALSE),4),0)),0)</f>
        <v>2320000</v>
      </c>
      <c r="E36" s="9">
        <f>IF(IF(ISNUMBER(VLOOKUP("3",A7:Q107,5,FALSE)),ROUND(VLOOKUP("3",A7:Q107,5,FALSE),4),0)&gt;0,IF(IF(ISNUMBER(VLOOKUP("3",A7:Q107,5,FALSE)),ROUND(VLOOKUP("3",A7:Q107,5,FALSE),4),0)&gt;IF(ISNUMBER(VLOOKUP("5.1",A7:Q107,5,FALSE)),ROUND(VLOOKUP("5.1",A7:Q107,5,FALSE),4),0),IF(ISNUMBER(VLOOKUP("5.1",A7:Q107,5,FALSE)),ROUND(VLOOKUP("5.1",A7:Q107,5,FALSE),4),0),IF(ISNUMBER(VLOOKUP("3",A7:Q107,5,FALSE)),ROUND(VLOOKUP("3",A7:Q107,5,FALSE),4),0)),0)</f>
        <v>1222500</v>
      </c>
      <c r="F36" s="9">
        <f>IF(IF(ISNUMBER(VLOOKUP("3",A7:Q107,6,FALSE)),ROUND(VLOOKUP("3",A7:Q107,6,FALSE),4),0)&gt;0,IF(IF(ISNUMBER(VLOOKUP("3",A7:Q107,6,FALSE)),ROUND(VLOOKUP("3",A7:Q107,6,FALSE),4),0)&gt;IF(ISNUMBER(VLOOKUP("5.1",A7:Q107,6,FALSE)),ROUND(VLOOKUP("5.1",A7:Q107,6,FALSE),4),0),IF(ISNUMBER(VLOOKUP("5.1",A7:Q107,6,FALSE)),ROUND(VLOOKUP("5.1",A7:Q107,6,FALSE),4),0),IF(ISNUMBER(VLOOKUP("3",A7:Q107,6,FALSE)),ROUND(VLOOKUP("3",A7:Q107,6,FALSE),4),0)),0)</f>
        <v>1222500</v>
      </c>
      <c r="G36" s="9">
        <f>IF(IF(ISNUMBER(VLOOKUP("3",A7:Q107,7,FALSE)),ROUND(VLOOKUP("3",A7:Q107,7,FALSE),4),0)&gt;0,IF(IF(ISNUMBER(VLOOKUP("3",A7:Q107,7,FALSE)),ROUND(VLOOKUP("3",A7:Q107,7,FALSE),4),0)&gt;IF(ISNUMBER(VLOOKUP("5.1",A7:Q107,7,FALSE)),ROUND(VLOOKUP("5.1",A7:Q107,7,FALSE),4),0),IF(ISNUMBER(VLOOKUP("5.1",A7:Q107,7,FALSE)),ROUND(VLOOKUP("5.1",A7:Q107,7,FALSE),4),0),IF(ISNUMBER(VLOOKUP("3",A7:Q107,7,FALSE)),ROUND(VLOOKUP("3",A7:Q107,7,FALSE),4),0)),0)</f>
        <v>0</v>
      </c>
      <c r="H36" s="9">
        <f>IF(IF(ISNUMBER(VLOOKUP("3",A7:Q107,8,FALSE)),ROUND(VLOOKUP("3",A7:Q107,8,FALSE),4),0)&gt;0,IF(IF(ISNUMBER(VLOOKUP("3",A7:Q107,8,FALSE)),ROUND(VLOOKUP("3",A7:Q107,8,FALSE),4),0)&gt;IF(ISNUMBER(VLOOKUP("5.1",A7:Q107,8,FALSE)),ROUND(VLOOKUP("5.1",A7:Q107,8,FALSE),4),0),IF(ISNUMBER(VLOOKUP("5.1",A7:Q107,8,FALSE)),ROUND(VLOOKUP("5.1",A7:Q107,8,FALSE),4),0),IF(ISNUMBER(VLOOKUP("3",A7:Q107,8,FALSE)),ROUND(VLOOKUP("3",A7:Q107,8,FALSE),4),0)),0)</f>
        <v>1422500</v>
      </c>
      <c r="I36" s="9">
        <f>IF(IF(ISNUMBER(VLOOKUP("3",A7:Q107,9,FALSE)),ROUND(VLOOKUP("3",A7:Q107,9,FALSE),4),0)&gt;0,IF(IF(ISNUMBER(VLOOKUP("3",A7:Q107,9,FALSE)),ROUND(VLOOKUP("3",A7:Q107,9,FALSE),4),0)&gt;IF(ISNUMBER(VLOOKUP("5.1",A7:Q107,9,FALSE)),ROUND(VLOOKUP("5.1",A7:Q107,9,FALSE),4),0),IF(ISNUMBER(VLOOKUP("5.1",A7:Q107,9,FALSE)),ROUND(VLOOKUP("5.1",A7:Q107,9,FALSE),4),0),IF(ISNUMBER(VLOOKUP("3",A7:Q107,9,FALSE)),ROUND(VLOOKUP("3",A7:Q107,9,FALSE),4),0)),0)</f>
        <v>283005</v>
      </c>
      <c r="J36" s="9">
        <f>IF(IF(ISNUMBER(VLOOKUP("3",A7:Q107,10,FALSE)),ROUND(VLOOKUP("3",A7:Q107,10,FALSE),4),0)&gt;0,IF(IF(ISNUMBER(VLOOKUP("3",A7:Q107,10,FALSE)),ROUND(VLOOKUP("3",A7:Q107,10,FALSE),4),0)&gt;IF(ISNUMBER(VLOOKUP("5.1",A7:Q107,10,FALSE)),ROUND(VLOOKUP("5.1",A7:Q107,10,FALSE),4),0),IF(ISNUMBER(VLOOKUP("5.1",A7:Q107,10,FALSE)),ROUND(VLOOKUP("5.1",A7:Q107,10,FALSE),4),0),IF(ISNUMBER(VLOOKUP("3",A7:Q107,10,FALSE)),ROUND(VLOOKUP("3",A7:Q107,10,FALSE),4),0)),0)</f>
        <v>283005</v>
      </c>
      <c r="K36" s="10">
        <f>IF(IF(ISNUMBER(VLOOKUP("3",A7:Q107,11,FALSE)),ROUND(VLOOKUP("3",A7:Q107,11,FALSE),4),0)&gt;0,IF(IF(ISNUMBER(VLOOKUP("3",A7:Q107,11,FALSE)),ROUND(VLOOKUP("3",A7:Q107,11,FALSE),4),0)&gt;IF(ISNUMBER(VLOOKUP("5.1",A7:Q107,11,FALSE)),ROUND(VLOOKUP("5.1",A7:Q107,11,FALSE),4),0),IF(ISNUMBER(VLOOKUP("5.1",A7:Q107,11,FALSE)),ROUND(VLOOKUP("5.1",A7:Q107,11,FALSE),4),0),IF(ISNUMBER(VLOOKUP("3",A7:Q107,11,FALSE)),ROUND(VLOOKUP("3",A7:Q107,11,FALSE),4),0)),0)</f>
        <v>1560000</v>
      </c>
      <c r="L36" s="10">
        <f>IF(IF(ISNUMBER(VLOOKUP("3",A7:Q107,12,FALSE)),ROUND(VLOOKUP("3",A7:Q107,12,FALSE),4),0)&gt;0,IF(IF(ISNUMBER(VLOOKUP("3",A7:Q107,12,FALSE)),ROUND(VLOOKUP("3",A7:Q107,12,FALSE),4),0)&gt;IF(ISNUMBER(VLOOKUP("5.1",A7:Q107,12,FALSE)),ROUND(VLOOKUP("5.1",A7:Q107,12,FALSE),4),0),IF(ISNUMBER(VLOOKUP("5.1",A7:Q107,12,FALSE)),ROUND(VLOOKUP("5.1",A7:Q107,12,FALSE),4),0),IF(ISNUMBER(VLOOKUP("3",A7:Q107,12,FALSE)),ROUND(VLOOKUP("3",A7:Q107,12,FALSE),4),0)),0)</f>
        <v>1485000</v>
      </c>
      <c r="M36" s="10">
        <f>IF(IF(ISNUMBER(VLOOKUP("3",A7:Q107,13,FALSE)),ROUND(VLOOKUP("3",A7:Q107,13,FALSE),4),0)&gt;0,IF(IF(ISNUMBER(VLOOKUP("3",A7:Q107,13,FALSE)),ROUND(VLOOKUP("3",A7:Q107,13,FALSE),4),0)&gt;IF(ISNUMBER(VLOOKUP("5.1",A7:Q107,13,FALSE)),ROUND(VLOOKUP("5.1",A7:Q107,13,FALSE),4),0),IF(ISNUMBER(VLOOKUP("5.1",A7:Q107,13,FALSE)),ROUND(VLOOKUP("5.1",A7:Q107,13,FALSE),4),0),IF(ISNUMBER(VLOOKUP("3",A7:Q107,13,FALSE)),ROUND(VLOOKUP("3",A7:Q107,13,FALSE),4),0)),0)</f>
        <v>1375000</v>
      </c>
      <c r="N36" s="10">
        <f>IF(IF(ISNUMBER(VLOOKUP("3",A7:Q107,14,FALSE)),ROUND(VLOOKUP("3",A7:Q107,14,FALSE),4),0)&gt;0,IF(IF(ISNUMBER(VLOOKUP("3",A7:Q107,14,FALSE)),ROUND(VLOOKUP("3",A7:Q107,14,FALSE),4),0)&gt;IF(ISNUMBER(VLOOKUP("5.1",A7:Q107,14,FALSE)),ROUND(VLOOKUP("5.1",A7:Q107,14,FALSE),4),0),IF(ISNUMBER(VLOOKUP("5.1",A7:Q107,14,FALSE)),ROUND(VLOOKUP("5.1",A7:Q107,14,FALSE),4),0),IF(ISNUMBER(VLOOKUP("3",A7:Q107,14,FALSE)),ROUND(VLOOKUP("3",A7:Q107,14,FALSE),4),0)),0)</f>
        <v>1375000</v>
      </c>
      <c r="O36" s="10">
        <f>IF(IF(ISNUMBER(VLOOKUP("3",A7:Q107,15,FALSE)),ROUND(VLOOKUP("3",A7:Q107,15,FALSE),4),0)&gt;0,IF(IF(ISNUMBER(VLOOKUP("3",A7:Q107,15,FALSE)),ROUND(VLOOKUP("3",A7:Q107,15,FALSE),4),0)&gt;IF(ISNUMBER(VLOOKUP("5.1",A7:Q107,15,FALSE)),ROUND(VLOOKUP("5.1",A7:Q107,15,FALSE),4),0),IF(ISNUMBER(VLOOKUP("5.1",A7:Q107,15,FALSE)),ROUND(VLOOKUP("5.1",A7:Q107,15,FALSE),4),0),IF(ISNUMBER(VLOOKUP("3",A7:Q107,15,FALSE)),ROUND(VLOOKUP("3",A7:Q107,15,FALSE),4),0)),0)</f>
        <v>1375000</v>
      </c>
      <c r="P36" s="10">
        <f>IF(IF(ISNUMBER(VLOOKUP("3",A7:Q107,16,FALSE)),ROUND(VLOOKUP("3",A7:Q107,16,FALSE),4),0)&gt;0,IF(IF(ISNUMBER(VLOOKUP("3",A7:Q107,16,FALSE)),ROUND(VLOOKUP("3",A7:Q107,16,FALSE),4),0)&gt;IF(ISNUMBER(VLOOKUP("5.1",A7:Q107,16,FALSE)),ROUND(VLOOKUP("5.1",A7:Q107,16,FALSE),4),0),IF(ISNUMBER(VLOOKUP("5.1",A7:Q107,16,FALSE)),ROUND(VLOOKUP("5.1",A7:Q107,16,FALSE),4),0),IF(ISNUMBER(VLOOKUP("3",A7:Q107,16,FALSE)),ROUND(VLOOKUP("3",A7:Q107,16,FALSE),4),0)),0)</f>
        <v>1250000</v>
      </c>
      <c r="Q36" s="10">
        <f>IF(IF(ISNUMBER(VLOOKUP("3",A7:Q107,17,FALSE)),ROUND(VLOOKUP("3",A7:Q107,17,FALSE),4),0)&gt;0,IF(IF(ISNUMBER(VLOOKUP("3",A7:Q107,17,FALSE)),ROUND(VLOOKUP("3",A7:Q107,17,FALSE),4),0)&gt;IF(ISNUMBER(VLOOKUP("5.1",A7:Q107,17,FALSE)),ROUND(VLOOKUP("5.1",A7:Q107,17,FALSE),4),0),IF(ISNUMBER(VLOOKUP("5.1",A7:Q107,17,FALSE)),ROUND(VLOOKUP("5.1",A7:Q107,17,FALSE),4),0),IF(ISNUMBER(VLOOKUP("3",A7:Q107,17,FALSE)),ROUND(VLOOKUP("3",A7:Q107,17,FALSE),4),0)),0)</f>
        <v>1250000</v>
      </c>
    </row>
    <row r="37" spans="1:17" ht="30" customHeight="1" x14ac:dyDescent="0.25">
      <c r="A37" s="1" t="s">
        <v>74</v>
      </c>
      <c r="B37" s="2" t="s">
        <v>75</v>
      </c>
      <c r="C37" s="3">
        <f>IF(ISNUMBER(VLOOKUP("4.1",A7:Q107,3,FALSE)),ROUND(VLOOKUP("4.1",A7:Q107,3,FALSE),4),0) + IF(ISNUMBER(VLOOKUP("4.2",A7:Q107,3,FALSE)),ROUND(VLOOKUP("4.2",A7:Q107,3,FALSE),4),0) + IF(ISNUMBER(VLOOKUP("4.3",A7:Q107,3,FALSE)),ROUND(VLOOKUP("4.3",A7:Q107,3,FALSE),4),0) + IF(ISNUMBER(VLOOKUP("4.4",A7:Q107,3,FALSE)),ROUND(VLOOKUP("4.4",A7:Q107,3,FALSE),4),0) + IF(ISNUMBER(VLOOKUP("4.5",A7:Q107,3,FALSE)),ROUND(VLOOKUP("4.5",A7:Q107,3,FALSE),4),0)</f>
        <v>2485939</v>
      </c>
      <c r="D37" s="3">
        <f>IF(ISNUMBER(VLOOKUP("4.1",A7:Q107,4,FALSE)),ROUND(VLOOKUP("4.1",A7:Q107,4,FALSE),4),0) + IF(ISNUMBER(VLOOKUP("4.2",A7:Q107,4,FALSE)),ROUND(VLOOKUP("4.2",A7:Q107,4,FALSE),4),0) + IF(ISNUMBER(VLOOKUP("4.3",A7:Q107,4,FALSE)),ROUND(VLOOKUP("4.3",A7:Q107,4,FALSE),4),0) + IF(ISNUMBER(VLOOKUP("4.4",A7:Q107,4,FALSE)),ROUND(VLOOKUP("4.4",A7:Q107,4,FALSE),4),0) + IF(ISNUMBER(VLOOKUP("4.5",A7:Q107,4,FALSE)),ROUND(VLOOKUP("4.5",A7:Q107,4,FALSE),4),0)</f>
        <v>1160000</v>
      </c>
      <c r="E37" s="3">
        <f>IF(ISNUMBER(VLOOKUP("4.1",A7:Q107,5,FALSE)),ROUND(VLOOKUP("4.1",A7:Q107,5,FALSE),4),0) + IF(ISNUMBER(VLOOKUP("4.2",A7:Q107,5,FALSE)),ROUND(VLOOKUP("4.2",A7:Q107,5,FALSE),4),0) + IF(ISNUMBER(VLOOKUP("4.3",A7:Q107,5,FALSE)),ROUND(VLOOKUP("4.3",A7:Q107,5,FALSE),4),0) + IF(ISNUMBER(VLOOKUP("4.4",A7:Q107,5,FALSE)),ROUND(VLOOKUP("4.4",A7:Q107,5,FALSE),4),0) + IF(ISNUMBER(VLOOKUP("4.5",A7:Q107,5,FALSE)),ROUND(VLOOKUP("4.5",A7:Q107,5,FALSE),4),0)</f>
        <v>7977870.8899999997</v>
      </c>
      <c r="F37" s="3">
        <f>IF(ISNUMBER(VLOOKUP("4.1",A7:Q107,6,FALSE)),ROUND(VLOOKUP("4.1",A7:Q107,6,FALSE),4),0) + IF(ISNUMBER(VLOOKUP("4.2",A7:Q107,6,FALSE)),ROUND(VLOOKUP("4.2",A7:Q107,6,FALSE),4),0) + IF(ISNUMBER(VLOOKUP("4.3",A7:Q107,6,FALSE)),ROUND(VLOOKUP("4.3",A7:Q107,6,FALSE),4),0) + IF(ISNUMBER(VLOOKUP("4.4",A7:Q107,6,FALSE)),ROUND(VLOOKUP("4.4",A7:Q107,6,FALSE),4),0) + IF(ISNUMBER(VLOOKUP("4.5",A7:Q107,6,FALSE)),ROUND(VLOOKUP("4.5",A7:Q107,6,FALSE),4),0)</f>
        <v>15733148.43</v>
      </c>
      <c r="G37" s="3">
        <f>IF(ISNUMBER(VLOOKUP("4.1",A7:Q107,7,FALSE)),ROUND(VLOOKUP("4.1",A7:Q107,7,FALSE),4),0) + IF(ISNUMBER(VLOOKUP("4.2",A7:Q107,7,FALSE)),ROUND(VLOOKUP("4.2",A7:Q107,7,FALSE),4),0) + IF(ISNUMBER(VLOOKUP("4.3",A7:Q107,7,FALSE)),ROUND(VLOOKUP("4.3",A7:Q107,7,FALSE),4),0) + IF(ISNUMBER(VLOOKUP("4.4",A7:Q107,7,FALSE)),ROUND(VLOOKUP("4.4",A7:Q107,7,FALSE),4),0) + IF(ISNUMBER(VLOOKUP("4.5",A7:Q107,7,FALSE)),ROUND(VLOOKUP("4.5",A7:Q107,7,FALSE),4),0)</f>
        <v>17633148.43</v>
      </c>
      <c r="H37" s="3">
        <f>IF(ISNUMBER(VLOOKUP("4.1",A7:Q107,8,FALSE)),ROUND(VLOOKUP("4.1",A7:Q107,8,FALSE),4),0) + IF(ISNUMBER(VLOOKUP("4.2",A7:Q107,8,FALSE)),ROUND(VLOOKUP("4.2",A7:Q107,8,FALSE),4),0) + IF(ISNUMBER(VLOOKUP("4.3",A7:Q107,8,FALSE)),ROUND(VLOOKUP("4.3",A7:Q107,8,FALSE),4),0) + IF(ISNUMBER(VLOOKUP("4.4",A7:Q107,8,FALSE)),ROUND(VLOOKUP("4.4",A7:Q107,8,FALSE),4),0) + IF(ISNUMBER(VLOOKUP("4.5",A7:Q107,8,FALSE)),ROUND(VLOOKUP("4.5",A7:Q107,8,FALSE),4),0)</f>
        <v>12625501.73</v>
      </c>
      <c r="I37" s="3">
        <f>IF(ISNUMBER(VLOOKUP("4.1",A7:Q107,9,FALSE)),ROUND(VLOOKUP("4.1",A7:Q107,9,FALSE),4),0) + IF(ISNUMBER(VLOOKUP("4.2",A7:Q107,9,FALSE)),ROUND(VLOOKUP("4.2",A7:Q107,9,FALSE),4),0) + IF(ISNUMBER(VLOOKUP("4.3",A7:Q107,9,FALSE)),ROUND(VLOOKUP("4.3",A7:Q107,9,FALSE),4),0) + IF(ISNUMBER(VLOOKUP("4.4",A7:Q107,9,FALSE)),ROUND(VLOOKUP("4.4",A7:Q107,9,FALSE),4),0) + IF(ISNUMBER(VLOOKUP("4.5",A7:Q107,9,FALSE)),ROUND(VLOOKUP("4.5",A7:Q107,9,FALSE),4),0)</f>
        <v>1276995</v>
      </c>
      <c r="J37" s="3">
        <f>IF(ISNUMBER(VLOOKUP("4.1",A7:Q107,10,FALSE)),ROUND(VLOOKUP("4.1",A7:Q107,10,FALSE),4),0) + IF(ISNUMBER(VLOOKUP("4.2",A7:Q107,10,FALSE)),ROUND(VLOOKUP("4.2",A7:Q107,10,FALSE),4),0) + IF(ISNUMBER(VLOOKUP("4.3",A7:Q107,10,FALSE)),ROUND(VLOOKUP("4.3",A7:Q107,10,FALSE),4),0) + IF(ISNUMBER(VLOOKUP("4.4",A7:Q107,10,FALSE)),ROUND(VLOOKUP("4.4",A7:Q107,10,FALSE),4),0) + IF(ISNUMBER(VLOOKUP("4.5",A7:Q107,10,FALSE)),ROUND(VLOOKUP("4.5",A7:Q107,10,FALSE),4),0)</f>
        <v>14993628.76</v>
      </c>
      <c r="K37" s="4">
        <f>IF(ISNUMBER(VLOOKUP("4.1",A7:Q107,11,FALSE)),ROUND(VLOOKUP("4.1",A7:Q107,11,FALSE),4),0) + IF(ISNUMBER(VLOOKUP("4.2",A7:Q107,11,FALSE)),ROUND(VLOOKUP("4.2",A7:Q107,11,FALSE),4),0) + IF(ISNUMBER(VLOOKUP("4.3",A7:Q107,11,FALSE)),ROUND(VLOOKUP("4.3",A7:Q107,11,FALSE),4),0) + IF(ISNUMBER(VLOOKUP("4.4",A7:Q107,11,FALSE)),ROUND(VLOOKUP("4.4",A7:Q107,11,FALSE),4),0) + IF(ISNUMBER(VLOOKUP("4.5",A7:Q107,11,FALSE)),ROUND(VLOOKUP("4.5",A7:Q107,11,FALSE),4),0)</f>
        <v>0</v>
      </c>
      <c r="L37" s="4">
        <f>IF(ISNUMBER(VLOOKUP("4.1",A7:Q107,12,FALSE)),ROUND(VLOOKUP("4.1",A7:Q107,12,FALSE),4),0) + IF(ISNUMBER(VLOOKUP("4.2",A7:Q107,12,FALSE)),ROUND(VLOOKUP("4.2",A7:Q107,12,FALSE),4),0) + IF(ISNUMBER(VLOOKUP("4.3",A7:Q107,12,FALSE)),ROUND(VLOOKUP("4.3",A7:Q107,12,FALSE),4),0) + IF(ISNUMBER(VLOOKUP("4.4",A7:Q107,12,FALSE)),ROUND(VLOOKUP("4.4",A7:Q107,12,FALSE),4),0) + IF(ISNUMBER(VLOOKUP("4.5",A7:Q107,12,FALSE)),ROUND(VLOOKUP("4.5",A7:Q107,12,FALSE),4),0)</f>
        <v>0</v>
      </c>
      <c r="M37" s="4">
        <f>IF(ISNUMBER(VLOOKUP("4.1",A7:Q107,13,FALSE)),ROUND(VLOOKUP("4.1",A7:Q107,13,FALSE),4),0) + IF(ISNUMBER(VLOOKUP("4.2",A7:Q107,13,FALSE)),ROUND(VLOOKUP("4.2",A7:Q107,13,FALSE),4),0) + IF(ISNUMBER(VLOOKUP("4.3",A7:Q107,13,FALSE)),ROUND(VLOOKUP("4.3",A7:Q107,13,FALSE),4),0) + IF(ISNUMBER(VLOOKUP("4.4",A7:Q107,13,FALSE)),ROUND(VLOOKUP("4.4",A7:Q107,13,FALSE),4),0) + IF(ISNUMBER(VLOOKUP("4.5",A7:Q107,13,FALSE)),ROUND(VLOOKUP("4.5",A7:Q107,13,FALSE),4),0)</f>
        <v>0</v>
      </c>
      <c r="N37" s="4">
        <f>IF(ISNUMBER(VLOOKUP("4.1",A7:Q107,14,FALSE)),ROUND(VLOOKUP("4.1",A7:Q107,14,FALSE),4),0) + IF(ISNUMBER(VLOOKUP("4.2",A7:Q107,14,FALSE)),ROUND(VLOOKUP("4.2",A7:Q107,14,FALSE),4),0) + IF(ISNUMBER(VLOOKUP("4.3",A7:Q107,14,FALSE)),ROUND(VLOOKUP("4.3",A7:Q107,14,FALSE),4),0) + IF(ISNUMBER(VLOOKUP("4.4",A7:Q107,14,FALSE)),ROUND(VLOOKUP("4.4",A7:Q107,14,FALSE),4),0) + IF(ISNUMBER(VLOOKUP("4.5",A7:Q107,14,FALSE)),ROUND(VLOOKUP("4.5",A7:Q107,14,FALSE),4),0)</f>
        <v>0</v>
      </c>
      <c r="O37" s="4">
        <f>IF(ISNUMBER(VLOOKUP("4.1",A7:Q107,15,FALSE)),ROUND(VLOOKUP("4.1",A7:Q107,15,FALSE),4),0) + IF(ISNUMBER(VLOOKUP("4.2",A7:Q107,15,FALSE)),ROUND(VLOOKUP("4.2",A7:Q107,15,FALSE),4),0) + IF(ISNUMBER(VLOOKUP("4.3",A7:Q107,15,FALSE)),ROUND(VLOOKUP("4.3",A7:Q107,15,FALSE),4),0) + IF(ISNUMBER(VLOOKUP("4.4",A7:Q107,15,FALSE)),ROUND(VLOOKUP("4.4",A7:Q107,15,FALSE),4),0) + IF(ISNUMBER(VLOOKUP("4.5",A7:Q107,15,FALSE)),ROUND(VLOOKUP("4.5",A7:Q107,15,FALSE),4),0)</f>
        <v>0</v>
      </c>
      <c r="P37" s="4">
        <f>IF(ISNUMBER(VLOOKUP("4.1",A7:Q107,16,FALSE)),ROUND(VLOOKUP("4.1",A7:Q107,16,FALSE),4),0) + IF(ISNUMBER(VLOOKUP("4.2",A7:Q107,16,FALSE)),ROUND(VLOOKUP("4.2",A7:Q107,16,FALSE),4),0) + IF(ISNUMBER(VLOOKUP("4.3",A7:Q107,16,FALSE)),ROUND(VLOOKUP("4.3",A7:Q107,16,FALSE),4),0) + IF(ISNUMBER(VLOOKUP("4.4",A7:Q107,16,FALSE)),ROUND(VLOOKUP("4.4",A7:Q107,16,FALSE),4),0) + IF(ISNUMBER(VLOOKUP("4.5",A7:Q107,16,FALSE)),ROUND(VLOOKUP("4.5",A7:Q107,16,FALSE),4),0)</f>
        <v>0</v>
      </c>
      <c r="Q37" s="4">
        <f>IF(ISNUMBER(VLOOKUP("4.1",A7:Q107,17,FALSE)),ROUND(VLOOKUP("4.1",A7:Q107,17,FALSE),4),0) + IF(ISNUMBER(VLOOKUP("4.2",A7:Q107,17,FALSE)),ROUND(VLOOKUP("4.2",A7:Q107,17,FALSE),4),0) + IF(ISNUMBER(VLOOKUP("4.3",A7:Q107,17,FALSE)),ROUND(VLOOKUP("4.3",A7:Q107,17,FALSE),4),0) + IF(ISNUMBER(VLOOKUP("4.4",A7:Q107,17,FALSE)),ROUND(VLOOKUP("4.4",A7:Q107,17,FALSE),4),0) + IF(ISNUMBER(VLOOKUP("4.5",A7:Q107,17,FALSE)),ROUND(VLOOKUP("4.5",A7:Q107,17,FALSE),4),0)</f>
        <v>0</v>
      </c>
    </row>
    <row r="38" spans="1:17" ht="30" customHeight="1" x14ac:dyDescent="0.25">
      <c r="A38" s="1" t="s">
        <v>76</v>
      </c>
      <c r="B38" s="2" t="s">
        <v>77</v>
      </c>
      <c r="C38" s="3">
        <v>0</v>
      </c>
      <c r="D38" s="3">
        <v>0</v>
      </c>
      <c r="E38" s="3">
        <v>0</v>
      </c>
      <c r="F38" s="3">
        <v>2500000</v>
      </c>
      <c r="G38" s="3">
        <v>4400000</v>
      </c>
      <c r="H38" s="3">
        <v>3000000</v>
      </c>
      <c r="I38" s="3">
        <v>0</v>
      </c>
      <c r="J38" s="3">
        <v>0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4">
        <v>0</v>
      </c>
      <c r="Q38" s="4">
        <v>0</v>
      </c>
    </row>
    <row r="39" spans="1:17" ht="30" customHeight="1" x14ac:dyDescent="0.25">
      <c r="A39" s="5" t="s">
        <v>78</v>
      </c>
      <c r="B39" s="6" t="s">
        <v>79</v>
      </c>
      <c r="C39" s="9">
        <v>0</v>
      </c>
      <c r="D39" s="9">
        <v>0</v>
      </c>
      <c r="E39" s="9">
        <v>0</v>
      </c>
      <c r="F39" s="9">
        <v>0</v>
      </c>
      <c r="G39" s="9">
        <v>4400000</v>
      </c>
      <c r="H39" s="9">
        <v>0</v>
      </c>
      <c r="I39" s="9">
        <v>0</v>
      </c>
      <c r="J39" s="9">
        <v>0</v>
      </c>
      <c r="K39" s="10">
        <v>0</v>
      </c>
      <c r="L39" s="10">
        <v>0</v>
      </c>
      <c r="M39" s="10">
        <v>0</v>
      </c>
      <c r="N39" s="10">
        <v>0</v>
      </c>
      <c r="O39" s="10">
        <v>0</v>
      </c>
      <c r="P39" s="10">
        <v>0</v>
      </c>
      <c r="Q39" s="10">
        <v>0</v>
      </c>
    </row>
    <row r="40" spans="1:17" ht="30" customHeight="1" x14ac:dyDescent="0.25">
      <c r="A40" s="1" t="s">
        <v>80</v>
      </c>
      <c r="B40" s="2" t="s">
        <v>81</v>
      </c>
      <c r="C40" s="11">
        <v>0</v>
      </c>
      <c r="D40" s="11">
        <v>0</v>
      </c>
      <c r="E40" s="11">
        <v>1657870.89</v>
      </c>
      <c r="F40" s="11">
        <v>6658148.4299999997</v>
      </c>
      <c r="G40" s="11">
        <v>6658148.4299999997</v>
      </c>
      <c r="H40" s="11">
        <v>0</v>
      </c>
      <c r="I40" s="11">
        <v>0</v>
      </c>
      <c r="J40" s="11">
        <v>3763628.76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12">
        <v>0</v>
      </c>
      <c r="Q40" s="12">
        <v>0</v>
      </c>
    </row>
    <row r="41" spans="1:17" ht="30" customHeight="1" x14ac:dyDescent="0.25">
      <c r="A41" s="5" t="s">
        <v>82</v>
      </c>
      <c r="B41" s="6" t="s">
        <v>79</v>
      </c>
      <c r="C41" s="9">
        <v>0</v>
      </c>
      <c r="D41" s="9">
        <v>0</v>
      </c>
      <c r="E41" s="9">
        <v>0</v>
      </c>
      <c r="F41" s="9">
        <v>0</v>
      </c>
      <c r="G41" s="9">
        <v>2285146.7000000002</v>
      </c>
      <c r="H41" s="9">
        <v>0</v>
      </c>
      <c r="I41" s="9">
        <v>0</v>
      </c>
      <c r="J41" s="9">
        <v>0</v>
      </c>
      <c r="K41" s="10">
        <v>0</v>
      </c>
      <c r="L41" s="10">
        <v>0</v>
      </c>
      <c r="M41" s="10">
        <v>0</v>
      </c>
      <c r="N41" s="10">
        <v>0</v>
      </c>
      <c r="O41" s="10">
        <v>0</v>
      </c>
      <c r="P41" s="10">
        <v>0</v>
      </c>
      <c r="Q41" s="10">
        <v>0</v>
      </c>
    </row>
    <row r="42" spans="1:17" ht="30" customHeight="1" x14ac:dyDescent="0.25">
      <c r="A42" s="5" t="s">
        <v>83</v>
      </c>
      <c r="B42" s="6" t="s">
        <v>84</v>
      </c>
      <c r="C42" s="7">
        <v>1785939</v>
      </c>
      <c r="D42" s="7">
        <v>1160000</v>
      </c>
      <c r="E42" s="7">
        <v>6320000</v>
      </c>
      <c r="F42" s="7">
        <v>6575000</v>
      </c>
      <c r="G42" s="7">
        <v>6575000</v>
      </c>
      <c r="H42" s="7">
        <v>9625501.7300000004</v>
      </c>
      <c r="I42" s="7">
        <v>1276995</v>
      </c>
      <c r="J42" s="7">
        <v>11230000</v>
      </c>
      <c r="K42" s="8">
        <v>0</v>
      </c>
      <c r="L42" s="8">
        <v>0</v>
      </c>
      <c r="M42" s="8">
        <v>0</v>
      </c>
      <c r="N42" s="8">
        <v>0</v>
      </c>
      <c r="O42" s="8">
        <v>0</v>
      </c>
      <c r="P42" s="8">
        <v>0</v>
      </c>
      <c r="Q42" s="8">
        <v>0</v>
      </c>
    </row>
    <row r="43" spans="1:17" ht="30" customHeight="1" x14ac:dyDescent="0.25">
      <c r="A43" s="5" t="s">
        <v>85</v>
      </c>
      <c r="B43" s="6" t="s">
        <v>79</v>
      </c>
      <c r="C43" s="9">
        <v>0</v>
      </c>
      <c r="D43" s="9">
        <v>0</v>
      </c>
      <c r="E43" s="9">
        <v>0</v>
      </c>
      <c r="F43" s="9">
        <v>0</v>
      </c>
      <c r="G43" s="9">
        <v>0</v>
      </c>
      <c r="H43" s="9">
        <v>0</v>
      </c>
      <c r="I43" s="9">
        <v>0</v>
      </c>
      <c r="J43" s="9">
        <v>0</v>
      </c>
      <c r="K43" s="10">
        <v>0</v>
      </c>
      <c r="L43" s="10">
        <v>0</v>
      </c>
      <c r="M43" s="10">
        <v>0</v>
      </c>
      <c r="N43" s="10">
        <v>0</v>
      </c>
      <c r="O43" s="10">
        <v>0</v>
      </c>
      <c r="P43" s="10">
        <v>0</v>
      </c>
      <c r="Q43" s="10">
        <v>0</v>
      </c>
    </row>
    <row r="44" spans="1:17" ht="30" customHeight="1" x14ac:dyDescent="0.25">
      <c r="A44" s="5" t="s">
        <v>86</v>
      </c>
      <c r="B44" s="6" t="s">
        <v>87</v>
      </c>
      <c r="C44" s="7">
        <v>0</v>
      </c>
      <c r="D44" s="7">
        <v>0</v>
      </c>
      <c r="E44" s="7">
        <v>0</v>
      </c>
      <c r="F44" s="7">
        <v>0</v>
      </c>
      <c r="G44" s="7">
        <v>0</v>
      </c>
      <c r="H44" s="7">
        <v>0</v>
      </c>
      <c r="I44" s="7">
        <v>0</v>
      </c>
      <c r="J44" s="7">
        <v>0</v>
      </c>
      <c r="K44" s="8">
        <v>0</v>
      </c>
      <c r="L44" s="8">
        <v>0</v>
      </c>
      <c r="M44" s="8">
        <v>0</v>
      </c>
      <c r="N44" s="8">
        <v>0</v>
      </c>
      <c r="O44" s="8">
        <v>0</v>
      </c>
      <c r="P44" s="8">
        <v>0</v>
      </c>
      <c r="Q44" s="8">
        <v>0</v>
      </c>
    </row>
    <row r="45" spans="1:17" ht="30" customHeight="1" x14ac:dyDescent="0.25">
      <c r="A45" s="5" t="s">
        <v>88</v>
      </c>
      <c r="B45" s="6" t="s">
        <v>79</v>
      </c>
      <c r="C45" s="9">
        <v>0</v>
      </c>
      <c r="D45" s="9">
        <v>0</v>
      </c>
      <c r="E45" s="9">
        <v>0</v>
      </c>
      <c r="F45" s="9">
        <v>0</v>
      </c>
      <c r="G45" s="9">
        <v>0</v>
      </c>
      <c r="H45" s="9">
        <v>0</v>
      </c>
      <c r="I45" s="9">
        <v>0</v>
      </c>
      <c r="J45" s="9">
        <v>0</v>
      </c>
      <c r="K45" s="10">
        <v>0</v>
      </c>
      <c r="L45" s="10">
        <v>0</v>
      </c>
      <c r="M45" s="10">
        <v>0</v>
      </c>
      <c r="N45" s="10">
        <v>0</v>
      </c>
      <c r="O45" s="10">
        <v>0</v>
      </c>
      <c r="P45" s="10">
        <v>0</v>
      </c>
      <c r="Q45" s="10">
        <v>0</v>
      </c>
    </row>
    <row r="46" spans="1:17" ht="30" customHeight="1" x14ac:dyDescent="0.25">
      <c r="A46" s="1" t="s">
        <v>89</v>
      </c>
      <c r="B46" s="2" t="s">
        <v>90</v>
      </c>
      <c r="C46" s="11">
        <v>700000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2">
        <v>0</v>
      </c>
      <c r="L46" s="12">
        <v>0</v>
      </c>
      <c r="M46" s="12">
        <v>0</v>
      </c>
      <c r="N46" s="12">
        <v>0</v>
      </c>
      <c r="O46" s="12">
        <v>0</v>
      </c>
      <c r="P46" s="12">
        <v>0</v>
      </c>
      <c r="Q46" s="12">
        <v>0</v>
      </c>
    </row>
    <row r="47" spans="1:17" ht="30" customHeight="1" x14ac:dyDescent="0.25">
      <c r="A47" s="5" t="s">
        <v>91</v>
      </c>
      <c r="B47" s="6" t="s">
        <v>79</v>
      </c>
      <c r="C47" s="9">
        <v>0</v>
      </c>
      <c r="D47" s="9">
        <v>0</v>
      </c>
      <c r="E47" s="9">
        <v>0</v>
      </c>
      <c r="F47" s="9">
        <v>0</v>
      </c>
      <c r="G47" s="9">
        <v>0</v>
      </c>
      <c r="H47" s="9">
        <v>0</v>
      </c>
      <c r="I47" s="9">
        <v>0</v>
      </c>
      <c r="J47" s="9">
        <v>0</v>
      </c>
      <c r="K47" s="10">
        <v>0</v>
      </c>
      <c r="L47" s="10">
        <v>0</v>
      </c>
      <c r="M47" s="10">
        <v>0</v>
      </c>
      <c r="N47" s="10">
        <v>0</v>
      </c>
      <c r="O47" s="10">
        <v>0</v>
      </c>
      <c r="P47" s="10">
        <v>0</v>
      </c>
      <c r="Q47" s="10">
        <v>0</v>
      </c>
    </row>
    <row r="48" spans="1:17" ht="30" customHeight="1" x14ac:dyDescent="0.25">
      <c r="A48" s="1" t="s">
        <v>92</v>
      </c>
      <c r="B48" s="2" t="s">
        <v>93</v>
      </c>
      <c r="C48" s="3">
        <f>IF(ISNUMBER(VLOOKUP("5.1",A7:Q107,3,FALSE)),ROUND(VLOOKUP("5.1",A7:Q107,3,FALSE),4),0) + IF(ISNUMBER(VLOOKUP("5.2",A7:Q107,3,FALSE)),ROUND(VLOOKUP("5.2",A7:Q107,3,FALSE),4),0)</f>
        <v>2885000</v>
      </c>
      <c r="D48" s="3">
        <f>IF(ISNUMBER(VLOOKUP("5.1",A7:Q107,4,FALSE)),ROUND(VLOOKUP("5.1",A7:Q107,4,FALSE),4),0) + IF(ISNUMBER(VLOOKUP("5.2",A7:Q107,4,FALSE)),ROUND(VLOOKUP("5.2",A7:Q107,4,FALSE),4),0)</f>
        <v>2320000</v>
      </c>
      <c r="E48" s="3">
        <f>IF(ISNUMBER(VLOOKUP("5.1",A7:Q107,5,FALSE)),ROUND(VLOOKUP("5.1",A7:Q107,5,FALSE),4),0) + IF(ISNUMBER(VLOOKUP("5.2",A7:Q107,5,FALSE)),ROUND(VLOOKUP("5.2",A7:Q107,5,FALSE),4),0)</f>
        <v>1222500</v>
      </c>
      <c r="F48" s="3">
        <f>IF(ISNUMBER(VLOOKUP("5.1",A7:Q107,6,FALSE)),ROUND(VLOOKUP("5.1",A7:Q107,6,FALSE),4),0) + IF(ISNUMBER(VLOOKUP("5.2",A7:Q107,6,FALSE)),ROUND(VLOOKUP("5.2",A7:Q107,6,FALSE),4),0)</f>
        <v>1222500</v>
      </c>
      <c r="G48" s="3">
        <f>IF(ISNUMBER(VLOOKUP("5.1",A7:Q107,7,FALSE)),ROUND(VLOOKUP("5.1",A7:Q107,7,FALSE),4),0) + IF(ISNUMBER(VLOOKUP("5.2",A7:Q107,7,FALSE)),ROUND(VLOOKUP("5.2",A7:Q107,7,FALSE),4),0)</f>
        <v>1322500</v>
      </c>
      <c r="H48" s="3">
        <f>IF(ISNUMBER(VLOOKUP("5.1",A7:Q107,8,FALSE)),ROUND(VLOOKUP("5.1",A7:Q107,8,FALSE),4),0) + IF(ISNUMBER(VLOOKUP("5.2",A7:Q107,8,FALSE)),ROUND(VLOOKUP("5.2",A7:Q107,8,FALSE),4),0)</f>
        <v>1422500</v>
      </c>
      <c r="I48" s="3">
        <f>IF(ISNUMBER(VLOOKUP("5.1",A7:Q107,9,FALSE)),ROUND(VLOOKUP("5.1",A7:Q107,9,FALSE),4),0) + IF(ISNUMBER(VLOOKUP("5.2",A7:Q107,9,FALSE)),ROUND(VLOOKUP("5.2",A7:Q107,9,FALSE),4),0)</f>
        <v>1560000</v>
      </c>
      <c r="J48" s="3">
        <f>IF(ISNUMBER(VLOOKUP("5.1",A7:Q107,10,FALSE)),ROUND(VLOOKUP("5.1",A7:Q107,10,FALSE),4),0) + IF(ISNUMBER(VLOOKUP("5.2",A7:Q107,10,FALSE)),ROUND(VLOOKUP("5.2",A7:Q107,10,FALSE),4),0)</f>
        <v>1560000</v>
      </c>
      <c r="K48" s="4">
        <f>IF(ISNUMBER(VLOOKUP("5.1",A7:Q107,11,FALSE)),ROUND(VLOOKUP("5.1",A7:Q107,11,FALSE),4),0) + IF(ISNUMBER(VLOOKUP("5.2",A7:Q107,11,FALSE)),ROUND(VLOOKUP("5.2",A7:Q107,11,FALSE),4),0)</f>
        <v>1560000</v>
      </c>
      <c r="L48" s="4">
        <f>IF(ISNUMBER(VLOOKUP("5.1",A7:Q107,12,FALSE)),ROUND(VLOOKUP("5.1",A7:Q107,12,FALSE),4),0) + IF(ISNUMBER(VLOOKUP("5.2",A7:Q107,12,FALSE)),ROUND(VLOOKUP("5.2",A7:Q107,12,FALSE),4),0)</f>
        <v>1485000</v>
      </c>
      <c r="M48" s="4">
        <f>IF(ISNUMBER(VLOOKUP("5.1",A7:Q107,13,FALSE)),ROUND(VLOOKUP("5.1",A7:Q107,13,FALSE),4),0) + IF(ISNUMBER(VLOOKUP("5.2",A7:Q107,13,FALSE)),ROUND(VLOOKUP("5.2",A7:Q107,13,FALSE),4),0)</f>
        <v>1375000</v>
      </c>
      <c r="N48" s="4">
        <f>IF(ISNUMBER(VLOOKUP("5.1",A7:Q107,14,FALSE)),ROUND(VLOOKUP("5.1",A7:Q107,14,FALSE),4),0) + IF(ISNUMBER(VLOOKUP("5.2",A7:Q107,14,FALSE)),ROUND(VLOOKUP("5.2",A7:Q107,14,FALSE),4),0)</f>
        <v>1375000</v>
      </c>
      <c r="O48" s="4">
        <f>IF(ISNUMBER(VLOOKUP("5.1",A7:Q107,15,FALSE)),ROUND(VLOOKUP("5.1",A7:Q107,15,FALSE),4),0) + IF(ISNUMBER(VLOOKUP("5.2",A7:Q107,15,FALSE)),ROUND(VLOOKUP("5.2",A7:Q107,15,FALSE),4),0)</f>
        <v>1375000</v>
      </c>
      <c r="P48" s="4">
        <f>IF(ISNUMBER(VLOOKUP("5.1",A7:Q107,16,FALSE)),ROUND(VLOOKUP("5.1",A7:Q107,16,FALSE),4),0) + IF(ISNUMBER(VLOOKUP("5.2",A7:Q107,16,FALSE)),ROUND(VLOOKUP("5.2",A7:Q107,16,FALSE),4),0)</f>
        <v>1250000</v>
      </c>
      <c r="Q48" s="4">
        <f>IF(ISNUMBER(VLOOKUP("5.1",A7:Q107,17,FALSE)),ROUND(VLOOKUP("5.1",A7:Q107,17,FALSE),4),0) + IF(ISNUMBER(VLOOKUP("5.2",A7:Q107,17,FALSE)),ROUND(VLOOKUP("5.2",A7:Q107,17,FALSE),4),0)</f>
        <v>1250000</v>
      </c>
    </row>
    <row r="49" spans="1:17" ht="45.75" customHeight="1" x14ac:dyDescent="0.25">
      <c r="A49" s="1" t="s">
        <v>94</v>
      </c>
      <c r="B49" s="2" t="s">
        <v>95</v>
      </c>
      <c r="C49" s="3">
        <v>2185000</v>
      </c>
      <c r="D49" s="3">
        <v>2320000</v>
      </c>
      <c r="E49" s="3">
        <v>1222500</v>
      </c>
      <c r="F49" s="3">
        <v>1222500</v>
      </c>
      <c r="G49" s="3">
        <v>1322500</v>
      </c>
      <c r="H49" s="3">
        <v>1422500</v>
      </c>
      <c r="I49" s="3">
        <v>1560000</v>
      </c>
      <c r="J49" s="3">
        <v>1560000</v>
      </c>
      <c r="K49" s="4">
        <v>1560000</v>
      </c>
      <c r="L49" s="4">
        <v>1485000</v>
      </c>
      <c r="M49" s="4">
        <v>1375000</v>
      </c>
      <c r="N49" s="4">
        <v>1375000</v>
      </c>
      <c r="O49" s="4">
        <v>1375000</v>
      </c>
      <c r="P49" s="4">
        <v>1250000</v>
      </c>
      <c r="Q49" s="4">
        <v>1250000</v>
      </c>
    </row>
    <row r="50" spans="1:17" ht="35.25" customHeight="1" x14ac:dyDescent="0.25">
      <c r="A50" s="5" t="s">
        <v>96</v>
      </c>
      <c r="B50" s="6" t="s">
        <v>97</v>
      </c>
      <c r="C50" s="9">
        <f>IF(ISNUMBER(VLOOKUP("5.1.1.1",A7:Q107,3,FALSE)),ROUND(VLOOKUP("5.1.1.1",A7:Q107,3,FALSE),4),0) + IF(ISNUMBER(VLOOKUP("5.1.1.2",A7:Q107,3,FALSE)),ROUND(VLOOKUP("5.1.1.2",A7:Q107,3,FALSE),4),0) + IF(ISNUMBER(VLOOKUP("5.1.1.3",A7:Q107,3,FALSE)),ROUND(VLOOKUP("5.1.1.3",A7:Q107,3,FALSE),4),0) + IF(ISNA(VLOOKUP("5.1.1.4",A7:Q107,3,FALSE)),0,ROUND(VLOOKUP("5.1.1.4",A7:Q107,3,FALSE),4))</f>
        <v>0</v>
      </c>
      <c r="D50" s="9">
        <f>IF(ISNUMBER(VLOOKUP("5.1.1.1",A7:Q107,4,FALSE)),ROUND(VLOOKUP("5.1.1.1",A7:Q107,4,FALSE),4),0) + IF(ISNUMBER(VLOOKUP("5.1.1.2",A7:Q107,4,FALSE)),ROUND(VLOOKUP("5.1.1.2",A7:Q107,4,FALSE),4),0) + IF(ISNUMBER(VLOOKUP("5.1.1.3",A7:Q107,4,FALSE)),ROUND(VLOOKUP("5.1.1.3",A7:Q107,4,FALSE),4),0) + IF(ISNA(VLOOKUP("5.1.1.4",A7:Q107,4,FALSE)),0,ROUND(VLOOKUP("5.1.1.4",A7:Q107,4,FALSE),4))</f>
        <v>0</v>
      </c>
      <c r="E50" s="9">
        <f>IF(ISNUMBER(VLOOKUP("5.1.1.1",A7:Q107,5,FALSE)),ROUND(VLOOKUP("5.1.1.1",A7:Q107,5,FALSE),4),0) + IF(ISNUMBER(VLOOKUP("5.1.1.2",A7:Q107,5,FALSE)),ROUND(VLOOKUP("5.1.1.2",A7:Q107,5,FALSE),4),0) + IF(ISNUMBER(VLOOKUP("5.1.1.3",A7:Q107,5,FALSE)),ROUND(VLOOKUP("5.1.1.3",A7:Q107,5,FALSE),4),0) + IF(ISNA(VLOOKUP("5.1.1.4",A7:Q107,5,FALSE)),0,ROUND(VLOOKUP("5.1.1.4",A7:Q107,5,FALSE),4))</f>
        <v>0</v>
      </c>
      <c r="F50" s="9">
        <f>IF(ISNUMBER(VLOOKUP("5.1.1.1",A7:Q107,6,FALSE)),ROUND(VLOOKUP("5.1.1.1",A7:Q107,6,FALSE),4),0) + IF(ISNUMBER(VLOOKUP("5.1.1.2",A7:Q107,6,FALSE)),ROUND(VLOOKUP("5.1.1.2",A7:Q107,6,FALSE),4),0) + IF(ISNUMBER(VLOOKUP("5.1.1.3",A7:Q107,6,FALSE)),ROUND(VLOOKUP("5.1.1.3",A7:Q107,6,FALSE),4),0) + IF(ISNA(VLOOKUP("5.1.1.4",A7:Q107,6,FALSE)),0,ROUND(VLOOKUP("5.1.1.4",A7:Q107,6,FALSE),4))</f>
        <v>0</v>
      </c>
      <c r="G50" s="9">
        <f>IF(ISNUMBER(VLOOKUP("5.1.1.1",A7:Q107,7,FALSE)),ROUND(VLOOKUP("5.1.1.1",A7:Q107,7,FALSE),4),0) + IF(ISNUMBER(VLOOKUP("5.1.1.2",A7:Q107,7,FALSE)),ROUND(VLOOKUP("5.1.1.2",A7:Q107,7,FALSE),4),0) + IF(ISNUMBER(VLOOKUP("5.1.1.3",A7:Q107,7,FALSE)),ROUND(VLOOKUP("5.1.1.3",A7:Q107,7,FALSE),4),0) + IF(ISNA(VLOOKUP("5.1.1.4",A7:Q107,7,FALSE)),0,ROUND(VLOOKUP("5.1.1.4",A7:Q107,7,FALSE),4))</f>
        <v>0</v>
      </c>
      <c r="H50" s="9">
        <f>IF(ISNUMBER(VLOOKUP("5.1.1.1",A7:Q107,8,FALSE)),ROUND(VLOOKUP("5.1.1.1",A7:Q107,8,FALSE),4),0) + IF(ISNUMBER(VLOOKUP("5.1.1.2",A7:Q107,8,FALSE)),ROUND(VLOOKUP("5.1.1.2",A7:Q107,8,FALSE),4),0) + IF(ISNUMBER(VLOOKUP("5.1.1.3",A7:Q107,8,FALSE)),ROUND(VLOOKUP("5.1.1.3",A7:Q107,8,FALSE),4),0) + IF(ISNA(VLOOKUP("5.1.1.4",A7:Q107,8,FALSE)),0,ROUND(VLOOKUP("5.1.1.4",A7:Q107,8,FALSE),4))</f>
        <v>0</v>
      </c>
      <c r="I50" s="9">
        <f>IF(ISNUMBER(VLOOKUP("5.1.1.1",A7:Q107,9,FALSE)),ROUND(VLOOKUP("5.1.1.1",A7:Q107,9,FALSE),4),0) + IF(ISNUMBER(VLOOKUP("5.1.1.2",A7:Q107,9,FALSE)),ROUND(VLOOKUP("5.1.1.2",A7:Q107,9,FALSE),4),0) + IF(ISNUMBER(VLOOKUP("5.1.1.3",A7:Q107,9,FALSE)),ROUND(VLOOKUP("5.1.1.3",A7:Q107,9,FALSE),4),0) + IF(ISNA(VLOOKUP("5.1.1.4",A7:Q107,9,FALSE)),0,ROUND(VLOOKUP("5.1.1.4",A7:Q107,9,FALSE),4))</f>
        <v>0</v>
      </c>
      <c r="J50" s="9">
        <f>IF(ISNUMBER(VLOOKUP("5.1.1.1",A7:Q107,10,FALSE)),ROUND(VLOOKUP("5.1.1.1",A7:Q107,10,FALSE),4),0) + IF(ISNUMBER(VLOOKUP("5.1.1.2",A7:Q107,10,FALSE)),ROUND(VLOOKUP("5.1.1.2",A7:Q107,10,FALSE),4),0) + IF(ISNUMBER(VLOOKUP("5.1.1.3",A7:Q107,10,FALSE)),ROUND(VLOOKUP("5.1.1.3",A7:Q107,10,FALSE),4),0) + IF(ISNA(VLOOKUP("5.1.1.4",A7:Q107,10,FALSE)),0,ROUND(VLOOKUP("5.1.1.4",A7:Q107,10,FALSE),4))</f>
        <v>0</v>
      </c>
      <c r="K50" s="10">
        <f>IF(ISNUMBER(VLOOKUP("5.1.1.1",A7:Q107,11,FALSE)),ROUND(VLOOKUP("5.1.1.1",A7:Q107,11,FALSE),4),0) + IF(ISNUMBER(VLOOKUP("5.1.1.2",A7:Q107,11,FALSE)),ROUND(VLOOKUP("5.1.1.2",A7:Q107,11,FALSE),4),0) + IF(ISNUMBER(VLOOKUP("5.1.1.3",A7:Q107,11,FALSE)),ROUND(VLOOKUP("5.1.1.3",A7:Q107,11,FALSE),4),0) + IF(ISNA(VLOOKUP("5.1.1.4",A7:Q107,11,FALSE)),0,ROUND(VLOOKUP("5.1.1.4",A7:Q107,11,FALSE),4))</f>
        <v>0</v>
      </c>
      <c r="L50" s="10">
        <f>IF(ISNUMBER(VLOOKUP("5.1.1.1",A7:Q107,12,FALSE)),ROUND(VLOOKUP("5.1.1.1",A7:Q107,12,FALSE),4),0) + IF(ISNUMBER(VLOOKUP("5.1.1.2",A7:Q107,12,FALSE)),ROUND(VLOOKUP("5.1.1.2",A7:Q107,12,FALSE),4),0) + IF(ISNUMBER(VLOOKUP("5.1.1.3",A7:Q107,12,FALSE)),ROUND(VLOOKUP("5.1.1.3",A7:Q107,12,FALSE),4),0) + IF(ISNA(VLOOKUP("5.1.1.4",A7:Q107,12,FALSE)),0,ROUND(VLOOKUP("5.1.1.4",A7:Q107,12,FALSE),4))</f>
        <v>0</v>
      </c>
      <c r="M50" s="10">
        <f>IF(ISNUMBER(VLOOKUP("5.1.1.1",A7:Q107,13,FALSE)),ROUND(VLOOKUP("5.1.1.1",A7:Q107,13,FALSE),4),0) + IF(ISNUMBER(VLOOKUP("5.1.1.2",A7:Q107,13,FALSE)),ROUND(VLOOKUP("5.1.1.2",A7:Q107,13,FALSE),4),0) + IF(ISNUMBER(VLOOKUP("5.1.1.3",A7:Q107,13,FALSE)),ROUND(VLOOKUP("5.1.1.3",A7:Q107,13,FALSE),4),0) + IF(ISNA(VLOOKUP("5.1.1.4",A7:Q107,13,FALSE)),0,ROUND(VLOOKUP("5.1.1.4",A7:Q107,13,FALSE),4))</f>
        <v>0</v>
      </c>
      <c r="N50" s="10">
        <f>IF(ISNUMBER(VLOOKUP("5.1.1.1",A7:Q107,14,FALSE)),ROUND(VLOOKUP("5.1.1.1",A7:Q107,14,FALSE),4),0) + IF(ISNUMBER(VLOOKUP("5.1.1.2",A7:Q107,14,FALSE)),ROUND(VLOOKUP("5.1.1.2",A7:Q107,14,FALSE),4),0) + IF(ISNUMBER(VLOOKUP("5.1.1.3",A7:Q107,14,FALSE)),ROUND(VLOOKUP("5.1.1.3",A7:Q107,14,FALSE),4),0) + IF(ISNA(VLOOKUP("5.1.1.4",A7:Q107,14,FALSE)),0,ROUND(VLOOKUP("5.1.1.4",A7:Q107,14,FALSE),4))</f>
        <v>0</v>
      </c>
      <c r="O50" s="10">
        <f>IF(ISNUMBER(VLOOKUP("5.1.1.1",A7:Q107,15,FALSE)),ROUND(VLOOKUP("5.1.1.1",A7:Q107,15,FALSE),4),0) + IF(ISNUMBER(VLOOKUP("5.1.1.2",A7:Q107,15,FALSE)),ROUND(VLOOKUP("5.1.1.2",A7:Q107,15,FALSE),4),0) + IF(ISNUMBER(VLOOKUP("5.1.1.3",A7:Q107,15,FALSE)),ROUND(VLOOKUP("5.1.1.3",A7:Q107,15,FALSE),4),0) + IF(ISNA(VLOOKUP("5.1.1.4",A7:Q107,15,FALSE)),0,ROUND(VLOOKUP("5.1.1.4",A7:Q107,15,FALSE),4))</f>
        <v>0</v>
      </c>
      <c r="P50" s="10">
        <f>IF(ISNUMBER(VLOOKUP("5.1.1.1",A7:Q107,16,FALSE)),ROUND(VLOOKUP("5.1.1.1",A7:Q107,16,FALSE),4),0) + IF(ISNUMBER(VLOOKUP("5.1.1.2",A7:Q107,16,FALSE)),ROUND(VLOOKUP("5.1.1.2",A7:Q107,16,FALSE),4),0) + IF(ISNUMBER(VLOOKUP("5.1.1.3",A7:Q107,16,FALSE)),ROUND(VLOOKUP("5.1.1.3",A7:Q107,16,FALSE),4),0) + IF(ISNA(VLOOKUP("5.1.1.4",A7:Q107,16,FALSE)),0,ROUND(VLOOKUP("5.1.1.4",A7:Q107,16,FALSE),4))</f>
        <v>0</v>
      </c>
      <c r="Q50" s="10">
        <f>IF(ISNUMBER(VLOOKUP("5.1.1.1",A7:Q107,17,FALSE)),ROUND(VLOOKUP("5.1.1.1",A7:Q107,17,FALSE),4),0) + IF(ISNUMBER(VLOOKUP("5.1.1.2",A7:Q107,17,FALSE)),ROUND(VLOOKUP("5.1.1.2",A7:Q107,17,FALSE),4),0) + IF(ISNUMBER(VLOOKUP("5.1.1.3",A7:Q107,17,FALSE)),ROUND(VLOOKUP("5.1.1.3",A7:Q107,17,FALSE),4),0) + IF(ISNA(VLOOKUP("5.1.1.4",A7:Q107,17,FALSE)),0,ROUND(VLOOKUP("5.1.1.4",A7:Q107,17,FALSE),4))</f>
        <v>0</v>
      </c>
    </row>
    <row r="51" spans="1:17" ht="39" customHeight="1" x14ac:dyDescent="0.25">
      <c r="A51" s="5" t="s">
        <v>98</v>
      </c>
      <c r="B51" s="6" t="s">
        <v>99</v>
      </c>
      <c r="C51" s="9">
        <v>0</v>
      </c>
      <c r="D51" s="9">
        <v>0</v>
      </c>
      <c r="E51" s="9">
        <v>0</v>
      </c>
      <c r="F51" s="9">
        <v>0</v>
      </c>
      <c r="G51" s="9">
        <v>0</v>
      </c>
      <c r="H51" s="9">
        <v>0</v>
      </c>
      <c r="I51" s="9">
        <v>0</v>
      </c>
      <c r="J51" s="9">
        <v>0</v>
      </c>
      <c r="K51" s="10">
        <v>0</v>
      </c>
      <c r="L51" s="10">
        <v>0</v>
      </c>
      <c r="M51" s="10">
        <v>0</v>
      </c>
      <c r="N51" s="10">
        <v>0</v>
      </c>
      <c r="O51" s="10">
        <v>0</v>
      </c>
      <c r="P51" s="10">
        <v>0</v>
      </c>
      <c r="Q51" s="10">
        <v>0</v>
      </c>
    </row>
    <row r="52" spans="1:17" ht="38.25" customHeight="1" x14ac:dyDescent="0.25">
      <c r="A52" s="5" t="s">
        <v>100</v>
      </c>
      <c r="B52" s="6" t="s">
        <v>101</v>
      </c>
      <c r="C52" s="9">
        <v>0</v>
      </c>
      <c r="D52" s="9">
        <v>0</v>
      </c>
      <c r="E52" s="9">
        <v>0</v>
      </c>
      <c r="F52" s="9">
        <v>0</v>
      </c>
      <c r="G52" s="9">
        <v>0</v>
      </c>
      <c r="H52" s="9">
        <v>0</v>
      </c>
      <c r="I52" s="9">
        <v>0</v>
      </c>
      <c r="J52" s="9">
        <v>0</v>
      </c>
      <c r="K52" s="10">
        <v>0</v>
      </c>
      <c r="L52" s="10">
        <v>0</v>
      </c>
      <c r="M52" s="10">
        <v>0</v>
      </c>
      <c r="N52" s="10">
        <v>0</v>
      </c>
      <c r="O52" s="10">
        <v>0</v>
      </c>
      <c r="P52" s="10">
        <v>0</v>
      </c>
      <c r="Q52" s="10">
        <v>0</v>
      </c>
    </row>
    <row r="53" spans="1:17" ht="39" customHeight="1" x14ac:dyDescent="0.25">
      <c r="A53" s="5" t="s">
        <v>102</v>
      </c>
      <c r="B53" s="6" t="s">
        <v>103</v>
      </c>
      <c r="C53" s="9">
        <f>IF(ISNUMBER(VLOOKUP("5.1.1.3.1",A7:Q107,3,FALSE)),ROUND(VLOOKUP("5.1.1.3.1",A7:Q107,3,FALSE),4),0) + IF(ISNUMBER(VLOOKUP("5.1.1.3.2",A7:Q107,3,FALSE)),ROUND(VLOOKUP("5.1.1.3.2",A7:Q107,3,FALSE),4),0) + IF(ISNUMBER(VLOOKUP("5.1.1.3.3",A7:Q107,3,FALSE)),ROUND(VLOOKUP("5.1.1.3.3",A7:Q107,3,FALSE),4),0)</f>
        <v>0</v>
      </c>
      <c r="D53" s="9">
        <f>IF(ISNUMBER(VLOOKUP("5.1.1.3.1",A7:Q107,4,FALSE)),ROUND(VLOOKUP("5.1.1.3.1",A7:Q107,4,FALSE),4),0) + IF(ISNUMBER(VLOOKUP("5.1.1.3.2",A7:Q107,4,FALSE)),ROUND(VLOOKUP("5.1.1.3.2",A7:Q107,4,FALSE),4),0) + IF(ISNUMBER(VLOOKUP("5.1.1.3.3",A7:Q107,4,FALSE)),ROUND(VLOOKUP("5.1.1.3.3",A7:Q107,4,FALSE),4),0)</f>
        <v>0</v>
      </c>
      <c r="E53" s="9">
        <f>IF(ISNUMBER(VLOOKUP("5.1.1.3.1",A7:Q107,5,FALSE)),ROUND(VLOOKUP("5.1.1.3.1",A7:Q107,5,FALSE),4),0) + IF(ISNUMBER(VLOOKUP("5.1.1.3.2",A7:Q107,5,FALSE)),ROUND(VLOOKUP("5.1.1.3.2",A7:Q107,5,FALSE),4),0) + IF(ISNUMBER(VLOOKUP("5.1.1.3.3",A7:Q107,5,FALSE)),ROUND(VLOOKUP("5.1.1.3.3",A7:Q107,5,FALSE),4),0)</f>
        <v>0</v>
      </c>
      <c r="F53" s="9">
        <f>IF(ISNUMBER(VLOOKUP("5.1.1.3.1",A7:Q107,6,FALSE)),ROUND(VLOOKUP("5.1.1.3.1",A7:Q107,6,FALSE),4),0) + IF(ISNUMBER(VLOOKUP("5.1.1.3.2",A7:Q107,6,FALSE)),ROUND(VLOOKUP("5.1.1.3.2",A7:Q107,6,FALSE),4),0) + IF(ISNUMBER(VLOOKUP("5.1.1.3.3",A7:Q107,6,FALSE)),ROUND(VLOOKUP("5.1.1.3.3",A7:Q107,6,FALSE),4),0)</f>
        <v>0</v>
      </c>
      <c r="G53" s="9">
        <f>IF(ISNUMBER(VLOOKUP("5.1.1.3.1",A7:Q107,7,FALSE)),ROUND(VLOOKUP("5.1.1.3.1",A7:Q107,7,FALSE),4),0) + IF(ISNUMBER(VLOOKUP("5.1.1.3.2",A7:Q107,7,FALSE)),ROUND(VLOOKUP("5.1.1.3.2",A7:Q107,7,FALSE),4),0) + IF(ISNUMBER(VLOOKUP("5.1.1.3.3",A7:Q107,7,FALSE)),ROUND(VLOOKUP("5.1.1.3.3",A7:Q107,7,FALSE),4),0)</f>
        <v>0</v>
      </c>
      <c r="H53" s="9">
        <f>IF(ISNUMBER(VLOOKUP("5.1.1.3.1",A7:Q107,8,FALSE)),ROUND(VLOOKUP("5.1.1.3.1",A7:Q107,8,FALSE),4),0) + IF(ISNUMBER(VLOOKUP("5.1.1.3.2",A7:Q107,8,FALSE)),ROUND(VLOOKUP("5.1.1.3.2",A7:Q107,8,FALSE),4),0) + IF(ISNUMBER(VLOOKUP("5.1.1.3.3",A7:Q107,8,FALSE)),ROUND(VLOOKUP("5.1.1.3.3",A7:Q107,8,FALSE),4),0)</f>
        <v>0</v>
      </c>
      <c r="I53" s="9">
        <f>IF(ISNUMBER(VLOOKUP("5.1.1.3.1",A7:Q107,9,FALSE)),ROUND(VLOOKUP("5.1.1.3.1",A7:Q107,9,FALSE),4),0) + IF(ISNUMBER(VLOOKUP("5.1.1.3.2",A7:Q107,9,FALSE)),ROUND(VLOOKUP("5.1.1.3.2",A7:Q107,9,FALSE),4),0) + IF(ISNUMBER(VLOOKUP("5.1.1.3.3",A7:Q107,9,FALSE)),ROUND(VLOOKUP("5.1.1.3.3",A7:Q107,9,FALSE),4),0)</f>
        <v>0</v>
      </c>
      <c r="J53" s="9">
        <f>IF(ISNUMBER(VLOOKUP("5.1.1.3.1",A7:Q107,10,FALSE)),ROUND(VLOOKUP("5.1.1.3.1",A7:Q107,10,FALSE),4),0) + IF(ISNUMBER(VLOOKUP("5.1.1.3.2",A7:Q107,10,FALSE)),ROUND(VLOOKUP("5.1.1.3.2",A7:Q107,10,FALSE),4),0) + IF(ISNUMBER(VLOOKUP("5.1.1.3.3",A7:Q107,10,FALSE)),ROUND(VLOOKUP("5.1.1.3.3",A7:Q107,10,FALSE),4),0)</f>
        <v>0</v>
      </c>
      <c r="K53" s="10">
        <f>IF(ISNUMBER(VLOOKUP("5.1.1.3.1",A7:Q107,11,FALSE)),ROUND(VLOOKUP("5.1.1.3.1",A7:Q107,11,FALSE),4),0) + IF(ISNUMBER(VLOOKUP("5.1.1.3.2",A7:Q107,11,FALSE)),ROUND(VLOOKUP("5.1.1.3.2",A7:Q107,11,FALSE),4),0) + IF(ISNUMBER(VLOOKUP("5.1.1.3.3",A7:Q107,11,FALSE)),ROUND(VLOOKUP("5.1.1.3.3",A7:Q107,11,FALSE),4),0)</f>
        <v>0</v>
      </c>
      <c r="L53" s="10">
        <f>IF(ISNUMBER(VLOOKUP("5.1.1.3.1",A7:Q107,12,FALSE)),ROUND(VLOOKUP("5.1.1.3.1",A7:Q107,12,FALSE),4),0) + IF(ISNUMBER(VLOOKUP("5.1.1.3.2",A7:Q107,12,FALSE)),ROUND(VLOOKUP("5.1.1.3.2",A7:Q107,12,FALSE),4),0) + IF(ISNUMBER(VLOOKUP("5.1.1.3.3",A7:Q107,12,FALSE)),ROUND(VLOOKUP("5.1.1.3.3",A7:Q107,12,FALSE),4),0)</f>
        <v>0</v>
      </c>
      <c r="M53" s="10">
        <f>IF(ISNUMBER(VLOOKUP("5.1.1.3.1",A7:Q107,13,FALSE)),ROUND(VLOOKUP("5.1.1.3.1",A7:Q107,13,FALSE),4),0) + IF(ISNUMBER(VLOOKUP("5.1.1.3.2",A7:Q107,13,FALSE)),ROUND(VLOOKUP("5.1.1.3.2",A7:Q107,13,FALSE),4),0) + IF(ISNUMBER(VLOOKUP("5.1.1.3.3",A7:Q107,13,FALSE)),ROUND(VLOOKUP("5.1.1.3.3",A7:Q107,13,FALSE),4),0)</f>
        <v>0</v>
      </c>
      <c r="N53" s="10">
        <f>IF(ISNUMBER(VLOOKUP("5.1.1.3.1",A7:Q107,14,FALSE)),ROUND(VLOOKUP("5.1.1.3.1",A7:Q107,14,FALSE),4),0) + IF(ISNUMBER(VLOOKUP("5.1.1.3.2",A7:Q107,14,FALSE)),ROUND(VLOOKUP("5.1.1.3.2",A7:Q107,14,FALSE),4),0) + IF(ISNUMBER(VLOOKUP("5.1.1.3.3",A7:Q107,14,FALSE)),ROUND(VLOOKUP("5.1.1.3.3",A7:Q107,14,FALSE),4),0)</f>
        <v>0</v>
      </c>
      <c r="O53" s="10">
        <f>IF(ISNUMBER(VLOOKUP("5.1.1.3.1",A7:Q107,15,FALSE)),ROUND(VLOOKUP("5.1.1.3.1",A7:Q107,15,FALSE),4),0) + IF(ISNUMBER(VLOOKUP("5.1.1.3.2",A7:Q107,15,FALSE)),ROUND(VLOOKUP("5.1.1.3.2",A7:Q107,15,FALSE),4),0) + IF(ISNUMBER(VLOOKUP("5.1.1.3.3",A7:Q107,15,FALSE)),ROUND(VLOOKUP("5.1.1.3.3",A7:Q107,15,FALSE),4),0)</f>
        <v>0</v>
      </c>
      <c r="P53" s="10">
        <f>IF(ISNUMBER(VLOOKUP("5.1.1.3.1",A7:Q107,16,FALSE)),ROUND(VLOOKUP("5.1.1.3.1",A7:Q107,16,FALSE),4),0) + IF(ISNUMBER(VLOOKUP("5.1.1.3.2",A7:Q107,16,FALSE)),ROUND(VLOOKUP("5.1.1.3.2",A7:Q107,16,FALSE),4),0) + IF(ISNUMBER(VLOOKUP("5.1.1.3.3",A7:Q107,16,FALSE)),ROUND(VLOOKUP("5.1.1.3.3",A7:Q107,16,FALSE),4),0)</f>
        <v>0</v>
      </c>
      <c r="Q53" s="10">
        <f>IF(ISNUMBER(VLOOKUP("5.1.1.3.1",A7:Q107,17,FALSE)),ROUND(VLOOKUP("5.1.1.3.1",A7:Q107,17,FALSE),4),0) + IF(ISNUMBER(VLOOKUP("5.1.1.3.2",A7:Q107,17,FALSE)),ROUND(VLOOKUP("5.1.1.3.2",A7:Q107,17,FALSE),4),0) + IF(ISNUMBER(VLOOKUP("5.1.1.3.3",A7:Q107,17,FALSE)),ROUND(VLOOKUP("5.1.1.3.3",A7:Q107,17,FALSE),4),0)</f>
        <v>0</v>
      </c>
    </row>
    <row r="54" spans="1:17" ht="23.25" customHeight="1" x14ac:dyDescent="0.25">
      <c r="A54" s="5" t="s">
        <v>104</v>
      </c>
      <c r="B54" s="6" t="s">
        <v>105</v>
      </c>
      <c r="C54" s="9">
        <v>0</v>
      </c>
      <c r="D54" s="9">
        <v>0</v>
      </c>
      <c r="E54" s="9">
        <v>0</v>
      </c>
      <c r="F54" s="9">
        <v>0</v>
      </c>
      <c r="G54" s="9">
        <v>0</v>
      </c>
      <c r="H54" s="9">
        <v>0</v>
      </c>
      <c r="I54" s="9">
        <v>0</v>
      </c>
      <c r="J54" s="9">
        <v>0</v>
      </c>
      <c r="K54" s="10">
        <v>0</v>
      </c>
      <c r="L54" s="10">
        <v>0</v>
      </c>
      <c r="M54" s="10">
        <v>0</v>
      </c>
      <c r="N54" s="10">
        <v>0</v>
      </c>
      <c r="O54" s="10">
        <v>0</v>
      </c>
      <c r="P54" s="10">
        <v>0</v>
      </c>
      <c r="Q54" s="10">
        <v>0</v>
      </c>
    </row>
    <row r="55" spans="1:17" ht="30" customHeight="1" x14ac:dyDescent="0.25">
      <c r="A55" s="5" t="s">
        <v>106</v>
      </c>
      <c r="B55" s="6" t="s">
        <v>107</v>
      </c>
      <c r="C55" s="9">
        <v>0</v>
      </c>
      <c r="D55" s="9">
        <v>0</v>
      </c>
      <c r="E55" s="9">
        <v>0</v>
      </c>
      <c r="F55" s="9">
        <v>0</v>
      </c>
      <c r="G55" s="9">
        <v>0</v>
      </c>
      <c r="H55" s="9">
        <v>0</v>
      </c>
      <c r="I55" s="9">
        <v>0</v>
      </c>
      <c r="J55" s="9">
        <v>0</v>
      </c>
      <c r="K55" s="10">
        <v>0</v>
      </c>
      <c r="L55" s="10">
        <v>0</v>
      </c>
      <c r="M55" s="10">
        <v>0</v>
      </c>
      <c r="N55" s="10">
        <v>0</v>
      </c>
      <c r="O55" s="10">
        <v>0</v>
      </c>
      <c r="P55" s="10">
        <v>0</v>
      </c>
      <c r="Q55" s="10">
        <v>0</v>
      </c>
    </row>
    <row r="56" spans="1:17" ht="30" customHeight="1" x14ac:dyDescent="0.25">
      <c r="A56" s="5" t="s">
        <v>108</v>
      </c>
      <c r="B56" s="6" t="s">
        <v>109</v>
      </c>
      <c r="C56" s="9">
        <v>0</v>
      </c>
      <c r="D56" s="9">
        <v>0</v>
      </c>
      <c r="E56" s="9">
        <v>0</v>
      </c>
      <c r="F56" s="9">
        <v>0</v>
      </c>
      <c r="G56" s="9">
        <v>0</v>
      </c>
      <c r="H56" s="9">
        <v>0</v>
      </c>
      <c r="I56" s="9">
        <v>0</v>
      </c>
      <c r="J56" s="9">
        <v>0</v>
      </c>
      <c r="K56" s="10">
        <v>0</v>
      </c>
      <c r="L56" s="10">
        <v>0</v>
      </c>
      <c r="M56" s="10">
        <v>0</v>
      </c>
      <c r="N56" s="10">
        <v>0</v>
      </c>
      <c r="O56" s="10">
        <v>0</v>
      </c>
      <c r="P56" s="10">
        <v>0</v>
      </c>
      <c r="Q56" s="10">
        <v>0</v>
      </c>
    </row>
    <row r="57" spans="1:17" ht="50.1" customHeight="1" x14ac:dyDescent="0.25">
      <c r="A57" s="5" t="s">
        <v>110</v>
      </c>
      <c r="B57" s="6" t="s">
        <v>111</v>
      </c>
      <c r="C57" s="9">
        <v>0</v>
      </c>
      <c r="D57" s="9">
        <v>0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9">
        <v>0</v>
      </c>
      <c r="K57" s="10">
        <v>0</v>
      </c>
      <c r="L57" s="10">
        <v>0</v>
      </c>
      <c r="M57" s="10">
        <v>0</v>
      </c>
      <c r="N57" s="10">
        <v>0</v>
      </c>
      <c r="O57" s="10">
        <v>0</v>
      </c>
      <c r="P57" s="10">
        <v>0</v>
      </c>
      <c r="Q57" s="10">
        <v>0</v>
      </c>
    </row>
    <row r="58" spans="1:17" ht="30" customHeight="1" x14ac:dyDescent="0.25">
      <c r="A58" s="1" t="s">
        <v>112</v>
      </c>
      <c r="B58" s="2" t="s">
        <v>113</v>
      </c>
      <c r="C58" s="11">
        <v>700000</v>
      </c>
      <c r="D58" s="11">
        <v>0</v>
      </c>
      <c r="E58" s="11">
        <v>0</v>
      </c>
      <c r="F58" s="11">
        <v>0</v>
      </c>
      <c r="G58" s="11">
        <v>0</v>
      </c>
      <c r="H58" s="11">
        <v>0</v>
      </c>
      <c r="I58" s="11">
        <v>0</v>
      </c>
      <c r="J58" s="11">
        <v>0</v>
      </c>
      <c r="K58" s="12">
        <v>0</v>
      </c>
      <c r="L58" s="12">
        <v>0</v>
      </c>
      <c r="M58" s="12">
        <v>0</v>
      </c>
      <c r="N58" s="12">
        <v>0</v>
      </c>
      <c r="O58" s="12">
        <v>0</v>
      </c>
      <c r="P58" s="12">
        <v>0</v>
      </c>
      <c r="Q58" s="12">
        <v>0</v>
      </c>
    </row>
    <row r="59" spans="1:17" ht="30" customHeight="1" x14ac:dyDescent="0.25">
      <c r="A59" s="1" t="s">
        <v>114</v>
      </c>
      <c r="B59" s="2" t="s">
        <v>115</v>
      </c>
      <c r="C59" s="3">
        <v>8840000</v>
      </c>
      <c r="D59" s="3">
        <v>6520000</v>
      </c>
      <c r="E59" s="3">
        <v>5297500</v>
      </c>
      <c r="F59" s="3">
        <v>6575000</v>
      </c>
      <c r="G59" s="3">
        <v>9652500</v>
      </c>
      <c r="H59" s="3">
        <v>11230000</v>
      </c>
      <c r="I59" s="3">
        <v>9670000</v>
      </c>
      <c r="J59" s="3">
        <v>9670000</v>
      </c>
      <c r="K59" s="4">
        <v>8110000</v>
      </c>
      <c r="L59" s="4">
        <v>6625000</v>
      </c>
      <c r="M59" s="4">
        <v>5250000</v>
      </c>
      <c r="N59" s="4">
        <v>3875000</v>
      </c>
      <c r="O59" s="4">
        <v>2500000</v>
      </c>
      <c r="P59" s="4">
        <v>1250000</v>
      </c>
      <c r="Q59" s="4">
        <v>0</v>
      </c>
    </row>
    <row r="60" spans="1:17" ht="30.75" customHeight="1" x14ac:dyDescent="0.25">
      <c r="A60" s="5" t="s">
        <v>116</v>
      </c>
      <c r="B60" s="6" t="s">
        <v>117</v>
      </c>
      <c r="C60" s="9">
        <v>0</v>
      </c>
      <c r="D60" s="9">
        <v>0</v>
      </c>
      <c r="E60" s="9">
        <v>0</v>
      </c>
      <c r="F60" s="9">
        <v>0</v>
      </c>
      <c r="G60" s="9">
        <v>0</v>
      </c>
      <c r="H60" s="9">
        <v>0</v>
      </c>
      <c r="I60" s="9">
        <v>0</v>
      </c>
      <c r="J60" s="9">
        <v>0</v>
      </c>
      <c r="K60" s="10">
        <v>0</v>
      </c>
      <c r="L60" s="10">
        <v>0</v>
      </c>
      <c r="M60" s="10">
        <v>0</v>
      </c>
      <c r="N60" s="10">
        <v>0</v>
      </c>
      <c r="O60" s="10">
        <v>0</v>
      </c>
      <c r="P60" s="10">
        <v>0</v>
      </c>
      <c r="Q60" s="10">
        <v>0</v>
      </c>
    </row>
    <row r="61" spans="1:17" ht="35.25" customHeight="1" x14ac:dyDescent="0.25">
      <c r="A61" s="1" t="s">
        <v>118</v>
      </c>
      <c r="B61" s="2" t="s">
        <v>119</v>
      </c>
      <c r="C61" s="24" t="s">
        <v>120</v>
      </c>
      <c r="D61" s="24" t="s">
        <v>120</v>
      </c>
      <c r="E61" s="24" t="s">
        <v>120</v>
      </c>
      <c r="F61" s="24" t="s">
        <v>120</v>
      </c>
      <c r="G61" s="24" t="s">
        <v>120</v>
      </c>
      <c r="H61" s="24" t="s">
        <v>120</v>
      </c>
      <c r="I61" s="24" t="s">
        <v>120</v>
      </c>
      <c r="J61" s="24" t="s">
        <v>120</v>
      </c>
      <c r="K61" s="25" t="s">
        <v>120</v>
      </c>
      <c r="L61" s="25" t="s">
        <v>120</v>
      </c>
      <c r="M61" s="25" t="s">
        <v>120</v>
      </c>
      <c r="N61" s="25" t="s">
        <v>120</v>
      </c>
      <c r="O61" s="25" t="s">
        <v>120</v>
      </c>
      <c r="P61" s="25" t="s">
        <v>120</v>
      </c>
      <c r="Q61" s="25" t="s">
        <v>120</v>
      </c>
    </row>
    <row r="62" spans="1:17" ht="32.25" customHeight="1" x14ac:dyDescent="0.25">
      <c r="A62" s="5" t="s">
        <v>121</v>
      </c>
      <c r="B62" s="6" t="s">
        <v>122</v>
      </c>
      <c r="C62" s="9">
        <f>IF(ISNUMBER(VLOOKUP("1.1",A7:Q107,3,FALSE)),ROUND(VLOOKUP("1.1",A7:Q107,3,FALSE),4),0) - IF(ISNUMBER(VLOOKUP("2.1",A7:Q107,3,FALSE)),ROUND(VLOOKUP("2.1",A7:Q107,3,FALSE),4),0)</f>
        <v>5895122.900000006</v>
      </c>
      <c r="D62" s="9">
        <f>IF(ISNUMBER(VLOOKUP("1.1",A7:Q107,4,FALSE)),ROUND(VLOOKUP("1.1",A7:Q107,4,FALSE),4),0) - IF(ISNUMBER(VLOOKUP("2.1",A7:Q107,4,FALSE)),ROUND(VLOOKUP("2.1",A7:Q107,4,FALSE),4),0)</f>
        <v>7436999.6300000101</v>
      </c>
      <c r="E62" s="9">
        <f>IF(ISNUMBER(VLOOKUP("1.1",A7:Q107,5,FALSE)),ROUND(VLOOKUP("1.1",A7:Q107,5,FALSE),4),0) - IF(ISNUMBER(VLOOKUP("2.1",A7:Q107,5,FALSE)),ROUND(VLOOKUP("2.1",A7:Q107,5,FALSE),4),0)</f>
        <v>6100887.8899999857</v>
      </c>
      <c r="F62" s="9">
        <f>IF(ISNUMBER(VLOOKUP("1.1",A7:Q107,6,FALSE)),ROUND(VLOOKUP("1.1",A7:Q107,6,FALSE),4),0) - IF(ISNUMBER(VLOOKUP("2.1",A7:Q107,6,FALSE)),ROUND(VLOOKUP("2.1",A7:Q107,6,FALSE),4),0)</f>
        <v>7674413.3100000024</v>
      </c>
      <c r="G62" s="9">
        <f>IF(ISNUMBER(VLOOKUP("1.1",A7:Q107,7,FALSE)),ROUND(VLOOKUP("1.1",A7:Q107,7,FALSE),4),0) - IF(ISNUMBER(VLOOKUP("2.1",A7:Q107,7,FALSE)),ROUND(VLOOKUP("2.1",A7:Q107,7,FALSE),4),0)</f>
        <v>2171527.599999994</v>
      </c>
      <c r="H62" s="9">
        <f>IF(ISNUMBER(VLOOKUP("1.1",A7:Q107,8,FALSE)),ROUND(VLOOKUP("1.1",A7:Q107,8,FALSE),4),0) - IF(ISNUMBER(VLOOKUP("2.1",A7:Q107,8,FALSE)),ROUND(VLOOKUP("2.1",A7:Q107,8,FALSE),4),0)</f>
        <v>13455579.38000001</v>
      </c>
      <c r="I62" s="9">
        <f>IF(ISNUMBER(VLOOKUP("1.1",A7:Q107,9,FALSE)),ROUND(VLOOKUP("1.1",A7:Q107,9,FALSE),4),0) - IF(ISNUMBER(VLOOKUP("2.1",A7:Q107,9,FALSE)),ROUND(VLOOKUP("2.1",A7:Q107,9,FALSE),4),0)</f>
        <v>6371770</v>
      </c>
      <c r="J62" s="9">
        <f>IF(ISNUMBER(VLOOKUP("1.1",A7:Q107,10,FALSE)),ROUND(VLOOKUP("1.1",A7:Q107,10,FALSE),4),0) - IF(ISNUMBER(VLOOKUP("2.1",A7:Q107,10,FALSE)),ROUND(VLOOKUP("2.1",A7:Q107,10,FALSE),4),0)</f>
        <v>6615269.9999999851</v>
      </c>
      <c r="K62" s="10">
        <f>IF(ISNUMBER(VLOOKUP("1.1",A7:Q107,11,FALSE)),ROUND(VLOOKUP("1.1",A7:Q107,11,FALSE),4),0) - IF(ISNUMBER(VLOOKUP("2.1",A7:Q107,11,FALSE)),ROUND(VLOOKUP("2.1",A7:Q107,11,FALSE),4),0)</f>
        <v>9083751</v>
      </c>
      <c r="L62" s="10">
        <f>IF(ISNUMBER(VLOOKUP("1.1",A7:Q107,12,FALSE)),ROUND(VLOOKUP("1.1",A7:Q107,12,FALSE),4),0) - IF(ISNUMBER(VLOOKUP("2.1",A7:Q107,12,FALSE)),ROUND(VLOOKUP("2.1",A7:Q107,12,FALSE),4),0)</f>
        <v>8224611</v>
      </c>
      <c r="M62" s="10">
        <f>IF(ISNUMBER(VLOOKUP("1.1",A7:Q107,13,FALSE)),ROUND(VLOOKUP("1.1",A7:Q107,13,FALSE),4),0) - IF(ISNUMBER(VLOOKUP("2.1",A7:Q107,13,FALSE)),ROUND(VLOOKUP("2.1",A7:Q107,13,FALSE),4),0)</f>
        <v>8922077</v>
      </c>
      <c r="N62" s="10">
        <f>IF(ISNUMBER(VLOOKUP("1.1",A7:Q107,14,FALSE)),ROUND(VLOOKUP("1.1",A7:Q107,14,FALSE),4),0) - IF(ISNUMBER(VLOOKUP("2.1",A7:Q107,14,FALSE)),ROUND(VLOOKUP("2.1",A7:Q107,14,FALSE),4),0)</f>
        <v>9286890</v>
      </c>
      <c r="O62" s="10">
        <f>IF(ISNUMBER(VLOOKUP("1.1",A7:Q107,15,FALSE)),ROUND(VLOOKUP("1.1",A7:Q107,15,FALSE),4),0) - IF(ISNUMBER(VLOOKUP("2.1",A7:Q107,15,FALSE)),ROUND(VLOOKUP("2.1",A7:Q107,15,FALSE),4),0)</f>
        <v>9630671</v>
      </c>
      <c r="P62" s="10">
        <f>IF(ISNUMBER(VLOOKUP("1.1",A7:Q107,16,FALSE)),ROUND(VLOOKUP("1.1",A7:Q107,16,FALSE),4),0) - IF(ISNUMBER(VLOOKUP("2.1",A7:Q107,16,FALSE)),ROUND(VLOOKUP("2.1",A7:Q107,16,FALSE),4),0)</f>
        <v>9979658</v>
      </c>
      <c r="Q62" s="10">
        <f>IF(ISNUMBER(VLOOKUP("1.1",A7:Q107,17,FALSE)),ROUND(VLOOKUP("1.1",A7:Q107,17,FALSE),4),0) - IF(ISNUMBER(VLOOKUP("2.1",A7:Q107,17,FALSE)),ROUND(VLOOKUP("2.1",A7:Q107,17,FALSE),4),0)</f>
        <v>10304439</v>
      </c>
    </row>
    <row r="63" spans="1:17" ht="39" customHeight="1" x14ac:dyDescent="0.25">
      <c r="A63" s="5" t="s">
        <v>123</v>
      </c>
      <c r="B63" s="6" t="s">
        <v>124</v>
      </c>
      <c r="C63" s="9">
        <f>IF(ISNUMBER(VLOOKUP("1.1",A7:Q107,3,FALSE)),ROUND(VLOOKUP("1.1",A7:Q107,3,FALSE),4),0) - IF(ISNUMBER(VLOOKUP("2.1",A7:Q107,3,FALSE)),ROUND(VLOOKUP("2.1",A7:Q107,3,FALSE),4),0) + IF(ISNUMBER(VLOOKUP("4.2",A7:Q107,3,FALSE)),ROUND(VLOOKUP("4.2",A7:Q107,3,FALSE),4),0) + IF(ISNUMBER(VLOOKUP("4.3",A7:Q107,3,FALSE)),ROUND(VLOOKUP("4.3",A7:Q107,3,FALSE),4),0)</f>
        <v>7681061.900000006</v>
      </c>
      <c r="D63" s="9">
        <f>IF(ISNUMBER(VLOOKUP("1.1",A7:Q107,4,FALSE)),ROUND(VLOOKUP("1.1",A7:Q107,4,FALSE),4),0) - IF(ISNUMBER(VLOOKUP("2.1",A7:Q107,4,FALSE)),ROUND(VLOOKUP("2.1",A7:Q107,4,FALSE),4),0) + IF(ISNUMBER(VLOOKUP("4.2",A7:Q107,4,FALSE)),ROUND(VLOOKUP("4.2",A7:Q107,4,FALSE),4),0) + IF(ISNUMBER(VLOOKUP("4.3",A7:Q107,4,FALSE)),ROUND(VLOOKUP("4.3",A7:Q107,4,FALSE),4),0)</f>
        <v>8596999.6300000101</v>
      </c>
      <c r="E63" s="9">
        <f>IF(ISNUMBER(VLOOKUP("1.1",A7:Q107,5,FALSE)),ROUND(VLOOKUP("1.1",A7:Q107,5,FALSE),4),0) - IF(ISNUMBER(VLOOKUP("2.1",A7:Q107,5,FALSE)),ROUND(VLOOKUP("2.1",A7:Q107,5,FALSE),4),0) + IF(ISNUMBER(VLOOKUP("4.2",A7:Q107,5,FALSE)),ROUND(VLOOKUP("4.2",A7:Q107,5,FALSE),4),0) + IF(ISNUMBER(VLOOKUP("4.3",A7:Q107,5,FALSE)),ROUND(VLOOKUP("4.3",A7:Q107,5,FALSE),4),0)</f>
        <v>14078758.779999986</v>
      </c>
      <c r="F63" s="9">
        <f>IF(ISNUMBER(VLOOKUP("1.1",A7:Q107,6,FALSE)),ROUND(VLOOKUP("1.1",A7:Q107,6,FALSE),4),0) - IF(ISNUMBER(VLOOKUP("2.1",A7:Q107,6,FALSE)),ROUND(VLOOKUP("2.1",A7:Q107,6,FALSE),4),0) + IF(ISNUMBER(VLOOKUP("4.2",A7:Q107,6,FALSE)),ROUND(VLOOKUP("4.2",A7:Q107,6,FALSE),4),0) + IF(ISNUMBER(VLOOKUP("4.3",A7:Q107,6,FALSE)),ROUND(VLOOKUP("4.3",A7:Q107,6,FALSE),4),0) + IF(ISNUMBER(VLOOKUP("4.4",A7:Q107,6,FALSE)),ROUND(VLOOKUP("4.4",A7:Q107,6,FALSE),4),0)</f>
        <v>20907561.740000002</v>
      </c>
      <c r="G63" s="9">
        <f>IF(ISNUMBER(VLOOKUP("1.1",A7:Q107,7,FALSE)),ROUND(VLOOKUP("1.1",A7:Q107,7,FALSE),4),0) - IF(ISNUMBER(VLOOKUP("2.1",A7:Q107,7,FALSE)),ROUND(VLOOKUP("2.1",A7:Q107,7,FALSE),4),0) + IF(ISNUMBER(VLOOKUP("4.2",A7:Q107,7,FALSE)),ROUND(VLOOKUP("4.2",A7:Q107,7,FALSE),4),0) + IF(ISNUMBER(VLOOKUP("4.3",A7:Q107,7,FALSE)),ROUND(VLOOKUP("4.3",A7:Q107,7,FALSE),4),0) + IF(ISNUMBER(VLOOKUP("4.4",A7:Q107,7,FALSE)),ROUND(VLOOKUP("4.4",A7:Q107,7,FALSE),4),0)</f>
        <v>15404676.029999994</v>
      </c>
      <c r="H63" s="9">
        <f>IF(ISNUMBER(VLOOKUP("1.1",A7:Q107,8,FALSE)),ROUND(VLOOKUP("1.1",A7:Q107,8,FALSE),4),0) - IF(ISNUMBER(VLOOKUP("2.1",A7:Q107,8,FALSE)),ROUND(VLOOKUP("2.1",A7:Q107,8,FALSE),4),0) + IF(ISNUMBER(VLOOKUP("4.2",A7:Q107,8,FALSE)),ROUND(VLOOKUP("4.2",A7:Q107,8,FALSE),4),0) + IF(ISNUMBER(VLOOKUP("4.3",A7:Q107,8,FALSE)),ROUND(VLOOKUP("4.3",A7:Q107,8,FALSE),4),0) + IF(ISNUMBER(VLOOKUP("4.4",A7:Q107,8,FALSE)),ROUND(VLOOKUP("4.4",A7:Q107,8,FALSE),4),0)</f>
        <v>23081081.110000011</v>
      </c>
      <c r="I63" s="9">
        <f>IF(ISNUMBER(VLOOKUP("1.1",A7:Q107,9,FALSE)),ROUND(VLOOKUP("1.1",A7:Q107,9,FALSE),4),0) - IF(ISNUMBER(VLOOKUP("2.1",A7:Q107,9,FALSE)),ROUND(VLOOKUP("2.1",A7:Q107,9,FALSE),4),0) + IF(ISNUMBER(VLOOKUP("4.2",A7:Q107,9,FALSE)),ROUND(VLOOKUP("4.2",A7:Q107,9,FALSE),4),0) + IF(ISNUMBER(VLOOKUP("4.3",A7:Q107,9,FALSE)),ROUND(VLOOKUP("4.3",A7:Q107,9,FALSE),4),0) + IF(ISNUMBER(VLOOKUP("4.4",A7:Q107,9,FALSE)),ROUND(VLOOKUP("4.4",A7:Q107,9,FALSE),4),0)</f>
        <v>7648765</v>
      </c>
      <c r="J63" s="9">
        <f>IF(ISNUMBER(VLOOKUP("1.1",A7:Q107,10,FALSE)),ROUND(VLOOKUP("1.1",A7:Q107,10,FALSE),4),0) - IF(ISNUMBER(VLOOKUP("2.1",A7:Q107,10,FALSE)),ROUND(VLOOKUP("2.1",A7:Q107,10,FALSE),4),0) + IF(ISNUMBER(VLOOKUP("4.2",A7:Q107,10,FALSE)),ROUND(VLOOKUP("4.2",A7:Q107,10,FALSE),4),0) + IF(ISNUMBER(VLOOKUP("4.3",A7:Q107,10,FALSE)),ROUND(VLOOKUP("4.3",A7:Q107,10,FALSE),4),0) + IF(ISNUMBER(VLOOKUP("4.4",A7:Q107,10,FALSE)),ROUND(VLOOKUP("4.4",A7:Q107,10,FALSE),4),0)</f>
        <v>21608898.759999983</v>
      </c>
      <c r="K63" s="10">
        <f>IF(ISNUMBER(VLOOKUP("1.1",A7:Q107,11,FALSE)),ROUND(VLOOKUP("1.1",A7:Q107,11,FALSE),4),0) - IF(ISNUMBER(VLOOKUP("2.1",A7:Q107,11,FALSE)),ROUND(VLOOKUP("2.1",A7:Q107,11,FALSE),4),0) + IF(ISNUMBER(VLOOKUP("4.2",A7:Q107,11,FALSE)),ROUND(VLOOKUP("4.2",A7:Q107,11,FALSE),4),0) + IF(ISNUMBER(VLOOKUP("4.3",A7:Q107,11,FALSE)),ROUND(VLOOKUP("4.3",A7:Q107,11,FALSE),4),0) + IF(ISNUMBER(VLOOKUP("4.4",A7:Q107,11,FALSE)),ROUND(VLOOKUP("4.4",A7:Q107,11,FALSE),4),0)</f>
        <v>9083751</v>
      </c>
      <c r="L63" s="10">
        <f>IF(ISNUMBER(VLOOKUP("1.1",A7:Q107,12,FALSE)),ROUND(VLOOKUP("1.1",A7:Q107,12,FALSE),4),0) - IF(ISNUMBER(VLOOKUP("2.1",A7:Q107,12,FALSE)),ROUND(VLOOKUP("2.1",A7:Q107,12,FALSE),4),0) + IF(ISNUMBER(VLOOKUP("4.2",A7:Q107,12,FALSE)),ROUND(VLOOKUP("4.2",A7:Q107,12,FALSE),4),0) + IF(ISNUMBER(VLOOKUP("4.3",A7:Q107,12,FALSE)),ROUND(VLOOKUP("4.3",A7:Q107,12,FALSE),4),0) + IF(ISNUMBER(VLOOKUP("4.4",A7:Q107,12,FALSE)),ROUND(VLOOKUP("4.4",A7:Q107,12,FALSE),4),0)</f>
        <v>8224611</v>
      </c>
      <c r="M63" s="10">
        <f>IF(ISNUMBER(VLOOKUP("1.1",A7:Q107,13,FALSE)),ROUND(VLOOKUP("1.1",A7:Q107,13,FALSE),4),0) - IF(ISNUMBER(VLOOKUP("2.1",A7:Q107,13,FALSE)),ROUND(VLOOKUP("2.1",A7:Q107,13,FALSE),4),0) + IF(ISNUMBER(VLOOKUP("4.2",A7:Q107,13,FALSE)),ROUND(VLOOKUP("4.2",A7:Q107,13,FALSE),4),0) + IF(ISNUMBER(VLOOKUP("4.3",A7:Q107,13,FALSE)),ROUND(VLOOKUP("4.3",A7:Q107,13,FALSE),4),0) + IF(ISNUMBER(VLOOKUP("4.4",A7:Q107,13,FALSE)),ROUND(VLOOKUP("4.4",A7:Q107,13,FALSE),4),0)</f>
        <v>8922077</v>
      </c>
      <c r="N63" s="10">
        <f>IF(ISNUMBER(VLOOKUP("1.1",A7:Q107,14,FALSE)),ROUND(VLOOKUP("1.1",A7:Q107,14,FALSE),4),0) - IF(ISNUMBER(VLOOKUP("2.1",A7:Q107,14,FALSE)),ROUND(VLOOKUP("2.1",A7:Q107,14,FALSE),4),0) + IF(ISNUMBER(VLOOKUP("4.2",A7:Q107,14,FALSE)),ROUND(VLOOKUP("4.2",A7:Q107,14,FALSE),4),0) + IF(ISNUMBER(VLOOKUP("4.3",A7:Q107,14,FALSE)),ROUND(VLOOKUP("4.3",A7:Q107,14,FALSE),4),0) + IF(ISNUMBER(VLOOKUP("4.4",A7:Q107,14,FALSE)),ROUND(VLOOKUP("4.4",A7:Q107,14,FALSE),4),0)</f>
        <v>9286890</v>
      </c>
      <c r="O63" s="10">
        <f>IF(ISNUMBER(VLOOKUP("1.1",A7:Q107,15,FALSE)),ROUND(VLOOKUP("1.1",A7:Q107,15,FALSE),4),0) - IF(ISNUMBER(VLOOKUP("2.1",A7:Q107,15,FALSE)),ROUND(VLOOKUP("2.1",A7:Q107,15,FALSE),4),0) + IF(ISNUMBER(VLOOKUP("4.2",A7:Q107,15,FALSE)),ROUND(VLOOKUP("4.2",A7:Q107,15,FALSE),4),0) + IF(ISNUMBER(VLOOKUP("4.4",A7:Q107,15,FALSE)),ROUND(VLOOKUP("4.4",A7:Q107,15,FALSE),4),0)</f>
        <v>9630671</v>
      </c>
      <c r="P63" s="10">
        <f>IF(ISNUMBER(VLOOKUP("1.1",A7:Q107,16,FALSE)),ROUND(VLOOKUP("1.1",A7:Q107,16,FALSE),4),0) - IF(ISNUMBER(VLOOKUP("2.1",A7:Q107,16,FALSE)),ROUND(VLOOKUP("2.1",A7:Q107,16,FALSE),4),0) + IF(ISNUMBER(VLOOKUP("4.2",A7:Q107,16,FALSE)),ROUND(VLOOKUP("4.2",A7:Q107,16,FALSE),4),0) + IF(ISNUMBER(VLOOKUP("4.4",A7:Q107,16,FALSE)),ROUND(VLOOKUP("4.4",A7:Q107,16,FALSE),4),0)</f>
        <v>9979658</v>
      </c>
      <c r="Q63" s="10">
        <f>IF(ISNUMBER(VLOOKUP("1.1",A7:Q107,17,FALSE)),ROUND(VLOOKUP("1.1",A7:Q107,17,FALSE),4),0) - IF(ISNUMBER(VLOOKUP("2.1",A7:Q107,17,FALSE)),ROUND(VLOOKUP("2.1",A7:Q107,17,FALSE),4),0) + IF(ISNUMBER(VLOOKUP("4.2",A7:Q107,17,FALSE)),ROUND(VLOOKUP("4.2",A7:Q107,17,FALSE),4),0) + IF(ISNUMBER(VLOOKUP("4.4",A7:Q107,17,FALSE)),ROUND(VLOOKUP("4.4",A7:Q107,17,FALSE),4),0)</f>
        <v>10304439</v>
      </c>
    </row>
    <row r="64" spans="1:17" ht="60.75" customHeight="1" x14ac:dyDescent="0.25">
      <c r="A64" s="5" t="s">
        <v>125</v>
      </c>
      <c r="B64" s="6" t="s">
        <v>126</v>
      </c>
      <c r="C64" s="9">
        <f>IF(ISNUMBER(VLOOKUP("7.2",A7:Q107,3,FALSE)),ROUND(VLOOKUP("7.2",A7:Q107,3,FALSE),4),0) + IF(ISNUMBER(VLOOKUP("10.11.x",A7:Q107,3,FALSE)),ROUND(VLOOKUP("10.11.x",A7:Q107,3,FALSE),4),0)</f>
        <v>7681061.9000000004</v>
      </c>
      <c r="D64" s="9">
        <f>IF(ISNUMBER(VLOOKUP("7.2",A7:Q107,4,FALSE)),ROUND(VLOOKUP("7.2",A7:Q107,4,FALSE),4),0) + IF(ISNUMBER(VLOOKUP("10.11.x",A7:Q107,4,FALSE)),ROUND(VLOOKUP("10.11.x",A7:Q107,4,FALSE),4),0)</f>
        <v>8596999.6300000008</v>
      </c>
      <c r="E64" s="9">
        <f>IF(ISNUMBER(VLOOKUP("7.2",A7:Q107,5,FALSE)),ROUND(VLOOKUP("7.2",A7:Q107,5,FALSE),4),0) + IF(ISNUMBER(VLOOKUP("10.11.x",A7:Q107,5,FALSE)),ROUND(VLOOKUP("10.11.x",A7:Q107,5,FALSE),4),0)</f>
        <v>14078758.779999999</v>
      </c>
      <c r="F64" s="9">
        <f>IF(ISNUMBER(VLOOKUP("7.2",A7:Q107,6,FALSE)),ROUND(VLOOKUP("7.2",A7:Q107,6,FALSE),4),0) + IF(ISNUMBER(VLOOKUP("10.11.x",A7:Q107,6,FALSE)),ROUND(VLOOKUP("10.11.x",A7:Q107,6,FALSE),4),0)</f>
        <v>20907561.739999998</v>
      </c>
      <c r="G64" s="9">
        <f>IF(ISNUMBER(VLOOKUP("7.2",A7:Q107,7,FALSE)),ROUND(VLOOKUP("7.2",A7:Q107,7,FALSE),4),0) + IF(ISNUMBER(VLOOKUP("10.11.x",A7:Q107,7,FALSE)),ROUND(VLOOKUP("10.11.x",A7:Q107,7,FALSE),4),0)</f>
        <v>15404676.029999999</v>
      </c>
      <c r="H64" s="9">
        <f>IF(ISNUMBER(VLOOKUP("7.2",A7:Q107,8,FALSE)),ROUND(VLOOKUP("7.2",A7:Q107,8,FALSE),4),0) + IF(ISNUMBER(VLOOKUP("10.11.x",A7:Q107,8,FALSE)),ROUND(VLOOKUP("10.11.x",A7:Q107,8,FALSE),4),0)</f>
        <v>23081081.109999999</v>
      </c>
      <c r="I64" s="9">
        <f>IF(ISNUMBER(VLOOKUP("7.2",A7:Q107,9,FALSE)),ROUND(VLOOKUP("7.2",A7:Q107,9,FALSE),4),0) + IF(ISNUMBER(VLOOKUP("10.11.x",A7:Q107,9,FALSE)),ROUND(VLOOKUP("10.11.x",A7:Q107,9,FALSE),4),0)</f>
        <v>7648765</v>
      </c>
      <c r="J64" s="9">
        <f>IF(ISNUMBER(VLOOKUP("7.2",A7:Q107,10,FALSE)),ROUND(VLOOKUP("7.2",A7:Q107,10,FALSE),4),0) + IF(ISNUMBER(VLOOKUP("10.11.x",A7:Q107,10,FALSE)),ROUND(VLOOKUP("10.11.x",A7:Q107,10,FALSE),4),0)</f>
        <v>21608898.760000002</v>
      </c>
      <c r="K64" s="10">
        <f>IF(ISNUMBER(VLOOKUP("7.2",A7:Q107,11,FALSE)),ROUND(VLOOKUP("7.2",A7:Q107,11,FALSE),4),0) + IF(ISNUMBER(VLOOKUP("10.11.x",A7:Q107,11,FALSE)),ROUND(VLOOKUP("10.11.x",A7:Q107,11,FALSE),4),0)</f>
        <v>9083751</v>
      </c>
      <c r="L64" s="10">
        <f>IF(ISNUMBER(VLOOKUP("7.2",A7:Q107,12,FALSE)),ROUND(VLOOKUP("7.2",A7:Q107,12,FALSE),4),0) + IF(ISNUMBER(VLOOKUP("10.11.x",A7:Q107,12,FALSE)),ROUND(VLOOKUP("10.11.x",A7:Q107,12,FALSE),4),0)</f>
        <v>8224611</v>
      </c>
      <c r="M64" s="10">
        <f>IF(ISNUMBER(VLOOKUP("7.2",A7:Q107,13,FALSE)),ROUND(VLOOKUP("7.2",A7:Q107,13,FALSE),4),0) + IF(ISNUMBER(VLOOKUP("10.11.x",A7:Q107,13,FALSE)),ROUND(VLOOKUP("10.11.x",A7:Q107,13,FALSE),4),0)</f>
        <v>8922077</v>
      </c>
      <c r="N64" s="10">
        <f>IF(ISNUMBER(VLOOKUP("7.2",A7:Q107,14,FALSE)),ROUND(VLOOKUP("7.2",A7:Q107,14,FALSE),4),0) + IF(ISNUMBER(VLOOKUP("10.11.x",A7:Q107,14,FALSE)),ROUND(VLOOKUP("10.11.x",A7:Q107,14,FALSE),4),0)</f>
        <v>9286890</v>
      </c>
      <c r="O64" s="10">
        <f>IF(ISNUMBER(VLOOKUP("7.2",A7:Q107,15,FALSE)),ROUND(VLOOKUP("7.2",A7:Q107,15,FALSE),4),0) + IF(ISNUMBER(VLOOKUP("10.11.x",A7:Q107,15,FALSE)),ROUND(VLOOKUP("10.11.x",A7:Q107,15,FALSE),4),0)</f>
        <v>9630671</v>
      </c>
      <c r="P64" s="10">
        <f>IF(ISNUMBER(VLOOKUP("7.2",A7:Q107,16,FALSE)),ROUND(VLOOKUP("7.2",A7:Q107,16,FALSE),4),0) + IF(ISNUMBER(VLOOKUP("10.11.x",A7:Q107,16,FALSE)),ROUND(VLOOKUP("10.11.x",A7:Q107,16,FALSE),4),0)</f>
        <v>9979658</v>
      </c>
      <c r="Q64" s="10">
        <f>IF(ISNUMBER(VLOOKUP("7.2",A7:Q107,17,FALSE)),ROUND(VLOOKUP("7.2",A7:Q107,17,FALSE),4),0) + IF(ISNUMBER(VLOOKUP("10.11.x",A7:Q107,17,FALSE)),ROUND(VLOOKUP("10.11.x",A7:Q107,17,FALSE),4),0)</f>
        <v>10304439</v>
      </c>
    </row>
    <row r="65" spans="1:17" ht="30" customHeight="1" x14ac:dyDescent="0.25">
      <c r="A65" s="1" t="s">
        <v>127</v>
      </c>
      <c r="B65" s="2" t="s">
        <v>128</v>
      </c>
      <c r="C65" s="24" t="s">
        <v>120</v>
      </c>
      <c r="D65" s="24" t="s">
        <v>120</v>
      </c>
      <c r="E65" s="24" t="s">
        <v>120</v>
      </c>
      <c r="F65" s="24" t="s">
        <v>120</v>
      </c>
      <c r="G65" s="24" t="s">
        <v>120</v>
      </c>
      <c r="H65" s="24" t="s">
        <v>120</v>
      </c>
      <c r="I65" s="24" t="s">
        <v>120</v>
      </c>
      <c r="J65" s="24" t="s">
        <v>120</v>
      </c>
      <c r="K65" s="25" t="s">
        <v>120</v>
      </c>
      <c r="L65" s="25" t="s">
        <v>120</v>
      </c>
      <c r="M65" s="25" t="s">
        <v>120</v>
      </c>
      <c r="N65" s="25" t="s">
        <v>120</v>
      </c>
      <c r="O65" s="25" t="s">
        <v>120</v>
      </c>
      <c r="P65" s="25" t="s">
        <v>120</v>
      </c>
      <c r="Q65" s="25" t="s">
        <v>120</v>
      </c>
    </row>
    <row r="66" spans="1:17" ht="64.5" customHeight="1" x14ac:dyDescent="0.25">
      <c r="A66" s="13" t="s">
        <v>129</v>
      </c>
      <c r="B66" s="14" t="s">
        <v>130</v>
      </c>
      <c r="C66" s="15">
        <f>(IF(ISNUMBER(VLOOKUP("5.1",A7:Q107,3,FALSE)),ROUND(VLOOKUP("5.1",A7:Q107,3,FALSE),4),0) - IF(ISNUMBER(VLOOKUP("5.1.1",A7:Q107,3,FALSE)),ROUND(VLOOKUP("5.1.1",A7:Q107,3,FALSE),4),0) + IF(ISNUMBER(VLOOKUP("10.7.2.1",A7:Q107,3,FALSE)),ROUND(VLOOKUP("10.7.2.1",A7:Q107,3,FALSE),4),0) - IF(ISNUMBER(VLOOKUP("10.9",A7:Q107,3,FALSE)),ROUND(VLOOKUP("10.9",A7:Q107,3,FALSE),4),0) + IF(ISNUMBER(VLOOKUP("2.1.2",A7:Q107,3,FALSE)),ROUND(VLOOKUP("2.1.2",A7:Q107,3,FALSE),4),0) - IF(ISNUMBER(VLOOKUP("2.1.2.1",A7:Q107,3,FALSE)),ROUND(VLOOKUP("2.1.2.1",A7:Q107,3,FALSE),4),0) + IF(ISNUMBER(VLOOKUP("2.1.3",A7:Q107,3,FALSE)),ROUND(VLOOKUP("2.1.3",A7:Q107,3,FALSE),4),0) - (IF(ISNUMBER(VLOOKUP("2.1.3.1",A7:Q107,3,FALSE)),ROUND(VLOOKUP("2.1.3.1",A7:Q107,3,FALSE),4),0) + IF(ISNUMBER(VLOOKUP("2.1.3.2",A7:Q107,3,FALSE)),ROUND(VLOOKUP("2.1.3.2",A7:Q107,3,FALSE),4),0) + IF(ISNA(VLOOKUP("2.1.3.3",A7:Q107,3,FALSE)),0,ROUND(VLOOKUP("2.1.3.3",A7:Q107,3,FALSE),4))) + IF(ISNUMBER(VLOOKUP("10.4",A7:Q107,3,FALSE)),ROUND(VLOOKUP("10.4",A7:Q107,3,FALSE),4),0)) / (IF(ISNUMBER(VLOOKUP("1.1",A7:Q107,3,FALSE)),ROUND(VLOOKUP("1.1",A7:Q107,3,FALSE),4),0) - IF(ISNUMBER(VLOOKUP("1.1.4",A7:Q107,3,FALSE)),ROUND(VLOOKUP("1.1.4",A7:Q107,3,FALSE),4),0) - IF(ISNA(VLOOKUP("11.1.1",A7:Q107,3,FALSE)),0,ROUND(VLOOKUP("11.1.1",A7:Q107,3,FALSE),4)))</f>
        <v>4.1544367747558368E-2</v>
      </c>
      <c r="D66" s="15">
        <f>(IF(ISNUMBER(VLOOKUP("5.1",A7:Q107,4,FALSE)),ROUND(VLOOKUP("5.1",A7:Q107,4,FALSE),4),0) - IF(ISNUMBER(VLOOKUP("5.1.1",A7:Q107,4,FALSE)),ROUND(VLOOKUP("5.1.1",A7:Q107,4,FALSE),4),0) + IF(ISNUMBER(VLOOKUP("10.7.2.1",A7:Q107,4,FALSE)),ROUND(VLOOKUP("10.7.2.1",A7:Q107,4,FALSE),4),0) - IF(ISNUMBER(VLOOKUP("10.9",A7:Q107,4,FALSE)),ROUND(VLOOKUP("10.9",A7:Q107,4,FALSE),4),0) + IF(ISNUMBER(VLOOKUP("2.1.2",A7:Q107,4,FALSE)),ROUND(VLOOKUP("2.1.2",A7:Q107,4,FALSE),4),0) - IF(ISNUMBER(VLOOKUP("2.1.2.1",A7:Q107,4,FALSE)),ROUND(VLOOKUP("2.1.2.1",A7:Q107,4,FALSE),4),0) + IF(ISNUMBER(VLOOKUP("2.1.3",A7:Q107,4,FALSE)),ROUND(VLOOKUP("2.1.3",A7:Q107,4,FALSE),4),0) - (IF(ISNUMBER(VLOOKUP("2.1.3.1",A7:Q107,4,FALSE)),ROUND(VLOOKUP("2.1.3.1",A7:Q107,4,FALSE),4),0) + IF(ISNUMBER(VLOOKUP("2.1.3.2",A7:Q107,4,FALSE)),ROUND(VLOOKUP("2.1.3.2",A7:Q107,4,FALSE),4),0) + IF(ISNA(VLOOKUP("2.1.3.3",A7:Q107,4,FALSE)),0,ROUND(VLOOKUP("2.1.3.3",A7:Q107,4,FALSE),4))) + IF(ISNUMBER(VLOOKUP("10.4",A7:Q107,4,FALSE)),ROUND(VLOOKUP("10.4",A7:Q107,4,FALSE),4),0)) / (IF(ISNUMBER(VLOOKUP("1.1",A7:Q107,4,FALSE)),ROUND(VLOOKUP("1.1",A7:Q107,4,FALSE),4),0) - IF(ISNUMBER(VLOOKUP("1.1.4",A7:Q107,4,FALSE)),ROUND(VLOOKUP("1.1.4",A7:Q107,4,FALSE),4),0) - IF(ISNA(VLOOKUP("11.1.1",A7:Q107,4,FALSE)),0,ROUND(VLOOKUP("11.1.1",A7:Q107,4,FALSE),4)))</f>
        <v>3.8480696896784218E-2</v>
      </c>
      <c r="E66" s="15">
        <f>(IF(ISNUMBER(VLOOKUP("5.1",A7:Q107,5,FALSE)),ROUND(VLOOKUP("5.1",A7:Q107,5,FALSE),4),0) - IF(ISNUMBER(VLOOKUP("5.1.1",A7:Q107,5,FALSE)),ROUND(VLOOKUP("5.1.1",A7:Q107,5,FALSE),4),0) + IF(ISNUMBER(VLOOKUP("10.7.2.1",A7:Q107,5,FALSE)),ROUND(VLOOKUP("10.7.2.1",A7:Q107,5,FALSE),4),0) - IF(ISNUMBER(VLOOKUP("10.9",A7:Q107,5,FALSE)),ROUND(VLOOKUP("10.9",A7:Q107,5,FALSE),4),0) + IF(ISNUMBER(VLOOKUP("2.1.2",A7:Q107,5,FALSE)),ROUND(VLOOKUP("2.1.2",A7:Q107,5,FALSE),4),0) - IF(ISNUMBER(VLOOKUP("2.1.2.1",A7:Q107,5,FALSE)),ROUND(VLOOKUP("2.1.2.1",A7:Q107,5,FALSE),4),0) + IF(ISNUMBER(VLOOKUP("2.1.3",A7:Q107,5,FALSE)),ROUND(VLOOKUP("2.1.3",A7:Q107,5,FALSE),4),0) - (IF(ISNUMBER(VLOOKUP("2.1.3.1",A7:Q107,5,FALSE)),ROUND(VLOOKUP("2.1.3.1",A7:Q107,5,FALSE),4),0) + IF(ISNUMBER(VLOOKUP("2.1.3.2",A7:Q107,5,FALSE)),ROUND(VLOOKUP("2.1.3.2",A7:Q107,5,FALSE),4),0) + IF(ISNA(VLOOKUP("2.1.3.3",A7:Q107,5,FALSE)),0,ROUND(VLOOKUP("2.1.3.3",A7:Q107,5,FALSE),4))) + IF(ISNUMBER(VLOOKUP("10.4",A7:Q107,5,FALSE)),ROUND(VLOOKUP("10.4",A7:Q107,5,FALSE),4),0)) / (IF(ISNUMBER(VLOOKUP("1.1",A7:Q107,5,FALSE)),ROUND(VLOOKUP("1.1",A7:Q107,5,FALSE),4),0) - IF(ISNUMBER(VLOOKUP("1.1.4",A7:Q107,5,FALSE)),ROUND(VLOOKUP("1.1.4",A7:Q107,5,FALSE),4),0) - IF(ISNA(VLOOKUP("11.1.1",A7:Q107,5,FALSE)),0,ROUND(VLOOKUP("11.1.1",A7:Q107,5,FALSE),4)))</f>
        <v>1.9500049832200481E-2</v>
      </c>
      <c r="F66" s="15">
        <f>(IF(ISNUMBER(VLOOKUP("5.1",A7:Q107,6,FALSE)),ROUND(VLOOKUP("5.1",A7:Q107,6,FALSE),4),0) - IF(ISNUMBER(VLOOKUP("5.1.1",A7:Q107,6,FALSE)),ROUND(VLOOKUP("5.1.1",A7:Q107,6,FALSE),4),0) + IF(ISNUMBER(VLOOKUP("10.7.2.1",A7:Q107,6,FALSE)),ROUND(VLOOKUP("10.7.2.1",A7:Q107,6,FALSE),4),0) - IF(ISNUMBER(VLOOKUP("10.9",A7:Q107,6,FALSE)),ROUND(VLOOKUP("10.9",A7:Q107,6,FALSE),4),0) + IF(ISNUMBER(VLOOKUP("2.1.2",A7:Q107,6,FALSE)),ROUND(VLOOKUP("2.1.2",A7:Q107,6,FALSE),4),0) - IF(ISNUMBER(VLOOKUP("2.1.2.1",A7:Q107,6,FALSE)),ROUND(VLOOKUP("2.1.2.1",A7:Q107,6,FALSE),4),0) + IF(ISNUMBER(VLOOKUP("2.1.3",A7:Q107,6,FALSE)),ROUND(VLOOKUP("2.1.3",A7:Q107,6,FALSE),4),0) - (IF(ISNUMBER(VLOOKUP("2.1.3.1",A7:Q107,6,FALSE)),ROUND(VLOOKUP("2.1.3.1",A7:Q107,6,FALSE),4),0) + IF(ISNUMBER(VLOOKUP("2.1.3.2",A7:Q107,6,FALSE)),ROUND(VLOOKUP("2.1.3.2",A7:Q107,6,FALSE),4),0) + IF(ISNA(VLOOKUP("2.1.3.3",A7:Q107,6,FALSE)),0,ROUND(VLOOKUP("2.1.3.3",A7:Q107,6,FALSE),4))) + IF(ISNUMBER(VLOOKUP("10.4",A7:Q107,6,FALSE)),ROUND(VLOOKUP("10.4",A7:Q107,6,FALSE),4),0)) / (IF(ISNUMBER(VLOOKUP("1.1",A7:Q107,6,FALSE)),ROUND(VLOOKUP("1.1",A7:Q107,6,FALSE),4),0) - IF(ISNUMBER(VLOOKUP("1.1.4",A7:Q107,6,FALSE)),ROUND(VLOOKUP("1.1.4",A7:Q107,6,FALSE),4),0) - IF(ISNA(VLOOKUP("11.1.1",A7:Q107,6,FALSE)),0,ROUND(VLOOKUP("11.1.1",A7:Q107,6,FALSE),4)))</f>
        <v>2.047655251269247E-2</v>
      </c>
      <c r="G66" s="15">
        <f>(IF(ISNUMBER(VLOOKUP("5.1",A7:Q107,7,FALSE)),ROUND(VLOOKUP("5.1",A7:Q107,7,FALSE),4),0) - IF(ISNUMBER(VLOOKUP("5.1.1",A7:Q107,7,FALSE)),ROUND(VLOOKUP("5.1.1",A7:Q107,7,FALSE),4),0) + IF(ISNUMBER(VLOOKUP("10.7.2.1",A7:Q107,7,FALSE)),ROUND(VLOOKUP("10.7.2.1",A7:Q107,7,FALSE),4),0) - IF(ISNUMBER(VLOOKUP("10.9",A7:Q107,7,FALSE)),ROUND(VLOOKUP("10.9",A7:Q107,7,FALSE),4),0) + IF(ISNUMBER(VLOOKUP("2.1.3",A7:Q107,7,FALSE)),ROUND(VLOOKUP("2.1.3",A7:Q107,7,FALSE),4),0) - (IF(ISNUMBER(VLOOKUP("2.1.3.1",A7:Q107,7,FALSE)),ROUND(VLOOKUP("2.1.3.1",A7:Q107,7,FALSE),4),0) + IF(ISNUMBER(VLOOKUP("2.1.3.2",A7:Q107,7,FALSE)),ROUND(VLOOKUP("2.1.3.2",A7:Q107,7,FALSE),4),0) + IF(ISNA(VLOOKUP("2.1.3.3",A7:Q107,7,FALSE)),0,ROUND(VLOOKUP("2.1.3.3",A7:Q107,7,FALSE),4))) + IF(ISNUMBER(VLOOKUP("10.4",A7:Q107,7,FALSE)),ROUND(VLOOKUP("10.4",A7:Q107,7,FALSE),4),0)) / (IF(ISNUMBER(VLOOKUP("1.1",A7:Q107,7,FALSE)),ROUND(VLOOKUP("1.1",A7:Q107,7,FALSE),4),0) - IF(ISNUMBER(VLOOKUP("1.1.4",A7:Q107,7,FALSE)),ROUND(VLOOKUP("1.1.4",A7:Q107,7,FALSE),4),0) - IF(ISNA(VLOOKUP("11.1.1",A7:Q107,7,FALSE)),0,ROUND(VLOOKUP("11.1.1",A7:Q107,7,FALSE),4)))</f>
        <v>2.3845917057735481E-2</v>
      </c>
      <c r="H66" s="15">
        <f>(IF(ISNUMBER(VLOOKUP("5.1",A7:Q107,8,FALSE)),ROUND(VLOOKUP("5.1",A7:Q107,8,FALSE),4),0) - IF(ISNUMBER(VLOOKUP("5.1.1",A7:Q107,8,FALSE)),ROUND(VLOOKUP("5.1.1",A7:Q107,8,FALSE),4),0) + IF(ISNUMBER(VLOOKUP("10.7.2.1",A7:Q107,8,FALSE)),ROUND(VLOOKUP("10.7.2.1",A7:Q107,8,FALSE),4),0) - IF(ISNUMBER(VLOOKUP("10.9",A7:Q107,8,FALSE)),ROUND(VLOOKUP("10.9",A7:Q107,8,FALSE),4),0) + IF(ISNUMBER(VLOOKUP("2.1.3",A7:Q107,8,FALSE)),ROUND(VLOOKUP("2.1.3",A7:Q107,8,FALSE),4),0) - (IF(ISNUMBER(VLOOKUP("2.1.3.1",A7:Q107,8,FALSE)),ROUND(VLOOKUP("2.1.3.1",A7:Q107,8,FALSE),4),0) + IF(ISNUMBER(VLOOKUP("2.1.3.2",A7:Q107,8,FALSE)),ROUND(VLOOKUP("2.1.3.2",A7:Q107,8,FALSE),4),0) + IF(ISNA(VLOOKUP("2.1.3.3",A7:Q107,8,FALSE)),0,ROUND(VLOOKUP("2.1.3.3",A7:Q107,8,FALSE),4))) + IF(ISNUMBER(VLOOKUP("10.4",A7:Q107,8,FALSE)),ROUND(VLOOKUP("10.4",A7:Q107,8,FALSE),4),0)) / (IF(ISNUMBER(VLOOKUP("1.1",A7:Q107,8,FALSE)),ROUND(VLOOKUP("1.1",A7:Q107,8,FALSE),4),0) - IF(ISNUMBER(VLOOKUP("1.1.4",A7:Q107,8,FALSE)),ROUND(VLOOKUP("1.1.4",A7:Q107,8,FALSE),4),0) - IF(ISNA(VLOOKUP("11.1.1",A7:Q107,8,FALSE)),0,ROUND(VLOOKUP("11.1.1",A7:Q107,8,FALSE),4)))</f>
        <v>2.0012849922676698E-2</v>
      </c>
      <c r="I66" s="15">
        <f>(IF(ISNUMBER(VLOOKUP("5.1",A7:Q107,9,FALSE)),ROUND(VLOOKUP("5.1",A7:Q107,9,FALSE),4),0) - IF(ISNUMBER(VLOOKUP("5.1.1",A7:Q107,9,FALSE)),ROUND(VLOOKUP("5.1.1",A7:Q107,9,FALSE),4),0) + IF(ISNUMBER(VLOOKUP("10.7.2.1",A7:Q107,9,FALSE)),ROUND(VLOOKUP("10.7.2.1",A7:Q107,9,FALSE),4),0) - IF(ISNUMBER(VLOOKUP("10.9",A7:Q107,9,FALSE)),ROUND(VLOOKUP("10.9",A7:Q107,9,FALSE),4),0) + IF(ISNUMBER(VLOOKUP("2.1.3",A7:Q107,9,FALSE)),ROUND(VLOOKUP("2.1.3",A7:Q107,9,FALSE),4),0) - (IF(ISNUMBER(VLOOKUP("2.1.3.1",A7:Q107,9,FALSE)),ROUND(VLOOKUP("2.1.3.1",A7:Q107,9,FALSE),4),0) + IF(ISNUMBER(VLOOKUP("2.1.3.2",A7:Q107,9,FALSE)),ROUND(VLOOKUP("2.1.3.2",A7:Q107,9,FALSE),4),0) + IF(ISNA(VLOOKUP("2.1.3.3",A7:Q107,9,FALSE)),0,ROUND(VLOOKUP("2.1.3.3",A7:Q107,9,FALSE),4))) + IF(ISNUMBER(VLOOKUP("10.4",A7:Q107,9,FALSE)),ROUND(VLOOKUP("10.4",A7:Q107,9,FALSE),4),0)) / (IF(ISNUMBER(VLOOKUP("1.1",A7:Q107,9,FALSE)),ROUND(VLOOKUP("1.1",A7:Q107,9,FALSE),4),0) - IF(ISNUMBER(VLOOKUP("1.1.4",A7:Q107,9,FALSE)),ROUND(VLOOKUP("1.1.4",A7:Q107,9,FALSE),4),0) - IF(ISNA(VLOOKUP("11.1.1",A7:Q107,9,FALSE)),0,ROUND(VLOOKUP("11.1.1",A7:Q107,9,FALSE),4)))</f>
        <v>2.1931844936253796E-2</v>
      </c>
      <c r="J66" s="15">
        <f>(IF(ISNUMBER(VLOOKUP("5.1",A7:Q107,10,FALSE)),ROUND(VLOOKUP("5.1",A7:Q107,10,FALSE),4),0) - IF(ISNUMBER(VLOOKUP("5.1.1",A7:Q107,10,FALSE)),ROUND(VLOOKUP("5.1.1",A7:Q107,10,FALSE),4),0) + IF(ISNUMBER(VLOOKUP("10.7.2.1",A7:Q107,10,FALSE)),ROUND(VLOOKUP("10.7.2.1",A7:Q107,10,FALSE),4),0) - IF(ISNUMBER(VLOOKUP("10.9",A7:Q107,10,FALSE)),ROUND(VLOOKUP("10.9",A7:Q107,10,FALSE),4),0) + IF(ISNUMBER(VLOOKUP("2.1.3",A7:Q107,10,FALSE)),ROUND(VLOOKUP("2.1.3",A7:Q107,10,FALSE),4),0) - (IF(ISNUMBER(VLOOKUP("2.1.3.1",A7:Q107,10,FALSE)),ROUND(VLOOKUP("2.1.3.1",A7:Q107,10,FALSE),4),0) + IF(ISNUMBER(VLOOKUP("2.1.3.2",A7:Q107,10,FALSE)),ROUND(VLOOKUP("2.1.3.2",A7:Q107,10,FALSE),4),0) + IF(ISNA(VLOOKUP("2.1.3.3",A7:Q107,10,FALSE)),0,ROUND(VLOOKUP("2.1.3.3",A7:Q107,10,FALSE),4))) + IF(ISNUMBER(VLOOKUP("10.4",A7:Q107,10,FALSE)),ROUND(VLOOKUP("10.4",A7:Q107,10,FALSE),4),0)) / (IF(ISNUMBER(VLOOKUP("1.1",A7:Q107,10,FALSE)),ROUND(VLOOKUP("1.1",A7:Q107,10,FALSE),4),0) - IF(ISNUMBER(VLOOKUP("1.1.4",A7:Q107,10,FALSE)),ROUND(VLOOKUP("1.1.4",A7:Q107,10,FALSE),4),0) - IF(ISNA(VLOOKUP("11.1.1",A7:Q107,10,FALSE)),0,ROUND(VLOOKUP("11.1.1",A7:Q107,10,FALSE),4)))</f>
        <v>2.1702878430766775E-2</v>
      </c>
      <c r="K66" s="16">
        <f>(IF(ISNUMBER(VLOOKUP("5.1",A7:Q107,11,FALSE)),ROUND(VLOOKUP("5.1",A7:Q107,11,FALSE),4),0) - IF(ISNUMBER(VLOOKUP("5.1.1",A7:Q107,11,FALSE)),ROUND(VLOOKUP("5.1.1",A7:Q107,11,FALSE),4),0) + IF(ISNUMBER(VLOOKUP("10.7.2.1",A7:Q107,11,FALSE)),ROUND(VLOOKUP("10.7.2.1",A7:Q107,11,FALSE),4),0) - IF(ISNUMBER(VLOOKUP("10.9",A7:Q107,11,FALSE)),ROUND(VLOOKUP("10.9",A7:Q107,11,FALSE),4),0) + IF(ISNUMBER(VLOOKUP("2.1.3",A7:Q107,11,FALSE)),ROUND(VLOOKUP("2.1.3",A7:Q107,11,FALSE),4),0) - (IF(ISNUMBER(VLOOKUP("2.1.3.1",A7:Q107,11,FALSE)),ROUND(VLOOKUP("2.1.3.1",A7:Q107,11,FALSE),4),0) + IF(ISNUMBER(VLOOKUP("2.1.3.2",A7:Q107,11,FALSE)),ROUND(VLOOKUP("2.1.3.2",A7:Q107,11,FALSE),4),0) + IF(ISNA(VLOOKUP("2.1.3.3",A7:Q107,11,FALSE)),0,ROUND(VLOOKUP("2.1.3.3",A7:Q107,11,FALSE),4))) + IF(ISNUMBER(VLOOKUP("10.4",A7:Q107,11,FALSE)),ROUND(VLOOKUP("10.4",A7:Q107,11,FALSE),4),0)) / (IF(ISNUMBER(VLOOKUP("1.1",A7:Q107,11,FALSE)),ROUND(VLOOKUP("1.1",A7:Q107,11,FALSE),4),0) - IF(ISNUMBER(VLOOKUP("1.1.4",A7:Q107,11,FALSE)),ROUND(VLOOKUP("1.1.4",A7:Q107,11,FALSE),4),0) - IF(ISNA(VLOOKUP("11.1.1",A7:Q107,11,FALSE)),0,ROUND(VLOOKUP("11.1.1",A7:Q107,11,FALSE),4)))</f>
        <v>1.984958174763931E-2</v>
      </c>
      <c r="L66" s="16">
        <f>(IF(ISNUMBER(VLOOKUP("5.1",A7:Q107,12,FALSE)),ROUND(VLOOKUP("5.1",A7:Q107,12,FALSE),4),0) - IF(ISNUMBER(VLOOKUP("5.1.1",A7:Q107,12,FALSE)),ROUND(VLOOKUP("5.1.1",A7:Q107,12,FALSE),4),0) + IF(ISNUMBER(VLOOKUP("10.7.2.1",A7:Q107,12,FALSE)),ROUND(VLOOKUP("10.7.2.1",A7:Q107,12,FALSE),4),0) - IF(ISNUMBER(VLOOKUP("10.9",A7:Q107,12,FALSE)),ROUND(VLOOKUP("10.9",A7:Q107,12,FALSE),4),0) + IF(ISNUMBER(VLOOKUP("2.1.3",A7:Q107,12,FALSE)),ROUND(VLOOKUP("2.1.3",A7:Q107,12,FALSE),4),0) - (IF(ISNUMBER(VLOOKUP("2.1.3.1",A7:Q107,12,FALSE)),ROUND(VLOOKUP("2.1.3.1",A7:Q107,12,FALSE),4),0) + IF(ISNUMBER(VLOOKUP("2.1.3.2",A7:Q107,12,FALSE)),ROUND(VLOOKUP("2.1.3.2",A7:Q107,12,FALSE),4),0) + IF(ISNA(VLOOKUP("2.1.3.3",A7:Q107,12,FALSE)),0,ROUND(VLOOKUP("2.1.3.3",A7:Q107,12,FALSE),4))) + IF(ISNUMBER(VLOOKUP("10.4",A7:Q107,12,FALSE)),ROUND(VLOOKUP("10.4",A7:Q107,12,FALSE),4),0)) / (IF(ISNUMBER(VLOOKUP("1.1",A7:Q107,12,FALSE)),ROUND(VLOOKUP("1.1",A7:Q107,12,FALSE),4),0) - IF(ISNUMBER(VLOOKUP("1.1.4",A7:Q107,12,FALSE)),ROUND(VLOOKUP("1.1.4",A7:Q107,12,FALSE),4),0) - IF(ISNA(VLOOKUP("11.1.1",A7:Q107,12,FALSE)),0,ROUND(VLOOKUP("11.1.1",A7:Q107,12,FALSE),4)))</f>
        <v>1.7841727571552911E-2</v>
      </c>
      <c r="M66" s="16">
        <f>(IF(ISNUMBER(VLOOKUP("5.1",A7:Q107,13,FALSE)),ROUND(VLOOKUP("5.1",A7:Q107,13,FALSE),4),0) - IF(ISNUMBER(VLOOKUP("5.1.1",A7:Q107,13,FALSE)),ROUND(VLOOKUP("5.1.1",A7:Q107,13,FALSE),4),0) + IF(ISNUMBER(VLOOKUP("10.7.2.1",A7:Q107,13,FALSE)),ROUND(VLOOKUP("10.7.2.1",A7:Q107,13,FALSE),4),0) - IF(ISNUMBER(VLOOKUP("10.9",A7:Q107,13,FALSE)),ROUND(VLOOKUP("10.9",A7:Q107,13,FALSE),4),0) + IF(ISNUMBER(VLOOKUP("2.1.3",A7:Q107,13,FALSE)),ROUND(VLOOKUP("2.1.3",A7:Q107,13,FALSE),4),0) - (IF(ISNUMBER(VLOOKUP("2.1.3.1",A7:Q107,13,FALSE)),ROUND(VLOOKUP("2.1.3.1",A7:Q107,13,FALSE),4),0) + IF(ISNUMBER(VLOOKUP("2.1.3.2",A7:Q107,13,FALSE)),ROUND(VLOOKUP("2.1.3.2",A7:Q107,13,FALSE),4),0) + IF(ISNA(VLOOKUP("2.1.3.3",A7:Q107,13,FALSE)),0,ROUND(VLOOKUP("2.1.3.3",A7:Q107,13,FALSE),4))) + IF(ISNUMBER(VLOOKUP("10.4",A7:Q107,13,FALSE)),ROUND(VLOOKUP("10.4",A7:Q107,13,FALSE),4),0)) / (IF(ISNUMBER(VLOOKUP("1.1",A7:Q107,13,FALSE)),ROUND(VLOOKUP("1.1",A7:Q107,13,FALSE),4),0) - IF(ISNUMBER(VLOOKUP("1.1.4",A7:Q107,13,FALSE)),ROUND(VLOOKUP("1.1.4",A7:Q107,13,FALSE),4),0) - IF(ISNA(VLOOKUP("11.1.1",A7:Q107,13,FALSE)),0,ROUND(VLOOKUP("11.1.1",A7:Q107,13,FALSE),4)))</f>
        <v>1.5467154466347081E-2</v>
      </c>
      <c r="N66" s="16">
        <f>(IF(ISNUMBER(VLOOKUP("5.1",A7:Q107,14,FALSE)),ROUND(VLOOKUP("5.1",A7:Q107,14,FALSE),4),0) - IF(ISNUMBER(VLOOKUP("5.1.1",A7:Q107,14,FALSE)),ROUND(VLOOKUP("5.1.1",A7:Q107,14,FALSE),4),0) + IF(ISNUMBER(VLOOKUP("10.7.2.1",A7:Q107,14,FALSE)),ROUND(VLOOKUP("10.7.2.1",A7:Q107,14,FALSE),4),0) - IF(ISNUMBER(VLOOKUP("10.9",A7:Q107,14,FALSE)),ROUND(VLOOKUP("10.9",A7:Q107,14,FALSE),4),0) + IF(ISNUMBER(VLOOKUP("2.1.3",A7:Q107,14,FALSE)),ROUND(VLOOKUP("2.1.3",A7:Q107,14,FALSE),4),0) - (IF(ISNUMBER(VLOOKUP("2.1.3.1",A7:Q107,14,FALSE)),ROUND(VLOOKUP("2.1.3.1",A7:Q107,14,FALSE),4),0) + IF(ISNUMBER(VLOOKUP("2.1.3.2",A7:Q107,14,FALSE)),ROUND(VLOOKUP("2.1.3.2",A7:Q107,14,FALSE),4),0) + IF(ISNA(VLOOKUP("2.1.3.3",A7:Q107,14,FALSE)),0,ROUND(VLOOKUP("2.1.3.3",A7:Q107,14,FALSE),4))) + IF(ISNUMBER(VLOOKUP("10.4",A7:Q107,14,FALSE)),ROUND(VLOOKUP("10.4",A7:Q107,14,FALSE),4),0)) / (IF(ISNUMBER(VLOOKUP("1.1",A7:Q107,14,FALSE)),ROUND(VLOOKUP("1.1",A7:Q107,14,FALSE),4),0) - IF(ISNUMBER(VLOOKUP("1.1.4",A7:Q107,14,FALSE)),ROUND(VLOOKUP("1.1.4",A7:Q107,14,FALSE),4),0) - IF(ISNA(VLOOKUP("11.1.1",A7:Q107,14,FALSE)),0,ROUND(VLOOKUP("11.1.1",A7:Q107,14,FALSE),4)))</f>
        <v>1.4203697063295821E-2</v>
      </c>
      <c r="O66" s="16">
        <f>(IF(ISNUMBER(VLOOKUP("5.1",A7:Q107,15,FALSE)),ROUND(VLOOKUP("5.1",A7:Q107,15,FALSE),4),0) - IF(ISNUMBER(VLOOKUP("5.1.1",A7:Q107,15,FALSE)),ROUND(VLOOKUP("5.1.1",A7:Q107,15,FALSE),4),0) + IF(ISNUMBER(VLOOKUP("10.7.2.1",A7:Q107,15,FALSE)),ROUND(VLOOKUP("10.7.2.1",A7:Q107,15,FALSE),4),0) - IF(ISNUMBER(VLOOKUP("10.9",A7:Q107,15,FALSE)),ROUND(VLOOKUP("10.9",A7:Q107,15,FALSE),4),0) + IF(ISNUMBER(VLOOKUP("2.1.2",A7:Q107,15,FALSE)),ROUND(VLOOKUP("2.1.2",A7:Q107,15,FALSE),4),0) - IF(ISNUMBER(VLOOKUP("2.1.2.1",A7:Q107,15,FALSE)),ROUND(VLOOKUP("2.1.2.1",A7:Q107,15,FALSE),4),0) + IF(ISNUMBER(VLOOKUP("2.1.3",A7:Q107,15,FALSE)),ROUND(VLOOKUP("2.1.3",A7:Q107,15,FALSE),4),0) - (IF(ISNUMBER(VLOOKUP("2.1.3.1",A7:Q107,15,FALSE)),ROUND(VLOOKUP("2.1.3.1",A7:Q107,15,FALSE),4),0) + IF(ISNUMBER(VLOOKUP("2.1.3.2",A7:Q107,15,FALSE)),ROUND(VLOOKUP("2.1.3.2",A7:Q107,15,FALSE),4),0) + IF(ISNA(VLOOKUP("2.1.3.3",A7:Q107,15,FALSE)),0,ROUND(VLOOKUP("2.1.3.3",A7:Q107,15,FALSE),4))) + IF(ISNUMBER(VLOOKUP("10.4",A7:Q107,15,FALSE)),ROUND(VLOOKUP("10.4",A7:Q107,15,FALSE),4),0)) / (IF(ISNUMBER(VLOOKUP("1.1",A7:Q107,15,FALSE)),ROUND(VLOOKUP("1.1",A7:Q107,15,FALSE),4),0) - IF(ISNUMBER(VLOOKUP("1.1.4",A7:Q107,15,FALSE)),ROUND(VLOOKUP("1.1.4",A7:Q107,15,FALSE),4),0) - IF(ISNA(VLOOKUP("11.1.1",A7:Q107,15,FALSE)),0,ROUND(VLOOKUP("11.1.1",A7:Q107,15,FALSE),4)))</f>
        <v>1.2997259529756527E-2</v>
      </c>
      <c r="P66" s="16">
        <f>(IF(ISNUMBER(VLOOKUP("5.1",A7:Q107,16,FALSE)),ROUND(VLOOKUP("5.1",A7:Q107,16,FALSE),4),0) - IF(ISNUMBER(VLOOKUP("5.1.1",A7:Q107,16,FALSE)),ROUND(VLOOKUP("5.1.1",A7:Q107,16,FALSE),4),0) + IF(ISNUMBER(VLOOKUP("10.7.2.1",A7:Q107,16,FALSE)),ROUND(VLOOKUP("10.7.2.1",A7:Q107,16,FALSE),4),0) - IF(ISNUMBER(VLOOKUP("10.9",A7:Q107,16,FALSE)),ROUND(VLOOKUP("10.9",A7:Q107,16,FALSE),4),0) + IF(ISNUMBER(VLOOKUP("2.1.2",A7:Q107,16,FALSE)),ROUND(VLOOKUP("2.1.2",A7:Q107,16,FALSE),4),0) - IF(ISNUMBER(VLOOKUP("2.1.2.1",A7:Q107,16,FALSE)),ROUND(VLOOKUP("2.1.2.1",A7:Q107,16,FALSE),4),0) + IF(ISNUMBER(VLOOKUP("2.1.3",A7:Q107,16,FALSE)),ROUND(VLOOKUP("2.1.3",A7:Q107,16,FALSE),4),0) - (IF(ISNUMBER(VLOOKUP("2.1.3.1",A7:Q107,16,FALSE)),ROUND(VLOOKUP("2.1.3.1",A7:Q107,16,FALSE),4),0) + IF(ISNUMBER(VLOOKUP("2.1.3.2",A7:Q107,16,FALSE)),ROUND(VLOOKUP("2.1.3.2",A7:Q107,16,FALSE),4),0) + IF(ISNA(VLOOKUP("2.1.3.3",A7:Q107,16,FALSE)),0,ROUND(VLOOKUP("2.1.3.3",A7:Q107,16,FALSE),4))) + IF(ISNUMBER(VLOOKUP("10.4",A7:Q107,16,FALSE)),ROUND(VLOOKUP("10.4",A7:Q107,16,FALSE),4),0)) / (IF(ISNUMBER(VLOOKUP("1.1",A7:Q107,16,FALSE)),ROUND(VLOOKUP("1.1",A7:Q107,16,FALSE),4),0) - IF(ISNUMBER(VLOOKUP("1.1.4",A7:Q107,16,FALSE)),ROUND(VLOOKUP("1.1.4",A7:Q107,16,FALSE),4),0) - IF(ISNA(VLOOKUP("11.1.1",A7:Q107,16,FALSE)),0,ROUND(VLOOKUP("11.1.1",A7:Q107,16,FALSE),4)))</f>
        <v>1.0912573272002865E-2</v>
      </c>
      <c r="Q66" s="16">
        <f>(IF(ISNUMBER(VLOOKUP("5.1",A7:Q107,17,FALSE)),ROUND(VLOOKUP("5.1",A7:Q107,17,FALSE),4),0) - IF(ISNUMBER(VLOOKUP("5.1.1",A7:Q107,17,FALSE)),ROUND(VLOOKUP("5.1.1",A7:Q107,17,FALSE),4),0) + IF(ISNUMBER(VLOOKUP("10.7.2.1",A7:Q107,17,FALSE)),ROUND(VLOOKUP("10.7.2.1",A7:Q107,17,FALSE),4),0) - IF(ISNUMBER(VLOOKUP("10.9",A7:Q107,17,FALSE)),ROUND(VLOOKUP("10.9",A7:Q107,17,FALSE),4),0) + IF(ISNUMBER(VLOOKUP("2.1.2",A7:Q107,17,FALSE)),ROUND(VLOOKUP("2.1.2",A7:Q107,17,FALSE),4),0) - IF(ISNUMBER(VLOOKUP("2.1.2.1",A7:Q107,17,FALSE)),ROUND(VLOOKUP("2.1.2.1",A7:Q107,17,FALSE),4),0) + IF(ISNUMBER(VLOOKUP("2.1.3",A7:Q107,17,FALSE)),ROUND(VLOOKUP("2.1.3",A7:Q107,17,FALSE),4),0) - (IF(ISNUMBER(VLOOKUP("2.1.3.1",A7:Q107,17,FALSE)),ROUND(VLOOKUP("2.1.3.1",A7:Q107,17,FALSE),4),0) + IF(ISNUMBER(VLOOKUP("2.1.3.2",A7:Q107,17,FALSE)),ROUND(VLOOKUP("2.1.3.2",A7:Q107,17,FALSE),4),0) + IF(ISNA(VLOOKUP("2.1.3.3",A7:Q107,17,FALSE)),0,ROUND(VLOOKUP("2.1.3.3",A7:Q107,17,FALSE),4))) + IF(ISNUMBER(VLOOKUP("10.4",A7:Q107,17,FALSE)),ROUND(VLOOKUP("10.4",A7:Q107,17,FALSE),4),0)) / (IF(ISNUMBER(VLOOKUP("1.1",A7:Q107,17,FALSE)),ROUND(VLOOKUP("1.1",A7:Q107,17,FALSE),4),0) - IF(ISNUMBER(VLOOKUP("1.1.4",A7:Q107,17,FALSE)),ROUND(VLOOKUP("1.1.4",A7:Q107,17,FALSE),4),0) - IF(ISNA(VLOOKUP("11.1.1",A7:Q107,17,FALSE)),0,ROUND(VLOOKUP("11.1.1",A7:Q107,17,FALSE),4)))</f>
        <v>9.9232818583546035E-3</v>
      </c>
    </row>
    <row r="67" spans="1:17" ht="44.25" customHeight="1" x14ac:dyDescent="0.25">
      <c r="A67" s="13" t="s">
        <v>131</v>
      </c>
      <c r="B67" s="14" t="s">
        <v>132</v>
      </c>
      <c r="C67" s="15">
        <f>((IF(ISNUMBER(VLOOKUP("1.1",A7:Q107,3,FALSE)),ROUND(VLOOKUP("1.1",A7:Q107,3,FALSE),4),0) - IF(ISNUMBER(VLOOKUP("9.1.1",A7:Q107,3,FALSE)),ROUND(VLOOKUP("9.1.1",A7:Q107,3,FALSE),4),0) - IF(ISNA(VLOOKUP("11.1.1",A7:Q107,3,FALSE)),0,ROUND(VLOOKUP("11.1.1",A7:Q107,3,FALSE),4))) - (IF(ISNUMBER(VLOOKUP("2.1",A7:Q107,3,FALSE)),ROUND(VLOOKUP("2.1",A7:Q107,3,FALSE),4),0) - IF(ISNUMBER(VLOOKUP("9.3.1",A7:Q107,3,FALSE)),ROUND(VLOOKUP("9.3.1",A7:Q107,3,FALSE),4),0) - IF(ISNUMBER(VLOOKUP("10.7.2.1.1",A7:Q107,3,FALSE)),ROUND(VLOOKUP("10.7.2.1.1",A7:Q107,3,FALSE),4),0) - IF(ISNUMBER(VLOOKUP("2.1.3",A7:Q107,3,FALSE)),ROUND(VLOOKUP("2.1.3",A7:Q107,3,FALSE),4),0) - IF(ISNA(VLOOKUP("10.11",A7:Q107,3,FALSE)),0,ROUND(VLOOKUP("10.11",A7:Q107,3,FALSE),4)))) / (IF(ISNUMBER(VLOOKUP("1.1",A7:Q107,3,FALSE)),ROUND(VLOOKUP("1.1",A7:Q107,3,FALSE),4),0) - IF(ISNUMBER(VLOOKUP("1.1.4",A7:Q107,3,FALSE)),ROUND(VLOOKUP("1.1.4",A7:Q107,3,FALSE),4),0) - IF(ISNA(VLOOKUP("11.1.1",A7:Q107,3,FALSE)),0,ROUND(VLOOKUP("11.1.1",A7:Q107,3,FALSE),4)))</f>
        <v>0.10694198267547497</v>
      </c>
      <c r="D67" s="15">
        <f>((IF(ISNUMBER(VLOOKUP("1.1",A7:Q107,4,FALSE)),ROUND(VLOOKUP("1.1",A7:Q107,4,FALSE),4),0) - IF(ISNUMBER(VLOOKUP("9.1.1",A7:Q107,4,FALSE)),ROUND(VLOOKUP("9.1.1",A7:Q107,4,FALSE),4),0) - IF(ISNA(VLOOKUP("11.1.1",A7:Q107,4,FALSE)),0,ROUND(VLOOKUP("11.1.1",A7:Q107,4,FALSE),4))) - (IF(ISNUMBER(VLOOKUP("2.1",A7:Q107,4,FALSE)),ROUND(VLOOKUP("2.1",A7:Q107,4,FALSE),4),0) - IF(ISNUMBER(VLOOKUP("9.3.1",A7:Q107,4,FALSE)),ROUND(VLOOKUP("9.3.1",A7:Q107,4,FALSE),4),0) - IF(ISNUMBER(VLOOKUP("10.7.2.1.1",A7:Q107,4,FALSE)),ROUND(VLOOKUP("10.7.2.1.1",A7:Q107,4,FALSE),4),0) - IF(ISNUMBER(VLOOKUP("2.1.3",A7:Q107,4,FALSE)),ROUND(VLOOKUP("2.1.3",A7:Q107,4,FALSE),4),0) - IF(ISNA(VLOOKUP("10.11",A7:Q107,4,FALSE)),0,ROUND(VLOOKUP("10.11",A7:Q107,4,FALSE),4)))) / (IF(ISNUMBER(VLOOKUP("1.1",A7:Q107,4,FALSE)),ROUND(VLOOKUP("1.1",A7:Q107,4,FALSE),4),0) - IF(ISNUMBER(VLOOKUP("1.1.4",A7:Q107,4,FALSE)),ROUND(VLOOKUP("1.1.4",A7:Q107,4,FALSE),4),0) - IF(ISNA(VLOOKUP("11.1.1",A7:Q107,4,FALSE)),0,ROUND(VLOOKUP("11.1.1",A7:Q107,4,FALSE),4)))</f>
        <v>0.12030108731936802</v>
      </c>
      <c r="E67" s="15">
        <f>((IF(ISNUMBER(VLOOKUP("1.1",A7:Q107,5,FALSE)),ROUND(VLOOKUP("1.1",A7:Q107,5,FALSE),4),0) - IF(ISNUMBER(VLOOKUP("9.1.1",A7:Q107,5,FALSE)),ROUND(VLOOKUP("9.1.1",A7:Q107,5,FALSE),4),0) - IF(ISNA(VLOOKUP("11.1.1",A7:Q107,5,FALSE)),0,ROUND(VLOOKUP("11.1.1",A7:Q107,5,FALSE),4))) - (IF(ISNUMBER(VLOOKUP("2.1",A7:Q107,5,FALSE)),ROUND(VLOOKUP("2.1",A7:Q107,5,FALSE),4),0) - IF(ISNUMBER(VLOOKUP("9.3.1",A7:Q107,5,FALSE)),ROUND(VLOOKUP("9.3.1",A7:Q107,5,FALSE),4),0) - IF(ISNUMBER(VLOOKUP("10.7.2.1.1",A7:Q107,5,FALSE)),ROUND(VLOOKUP("10.7.2.1.1",A7:Q107,5,FALSE),4),0) - IF(ISNUMBER(VLOOKUP("2.1.3",A7:Q107,5,FALSE)),ROUND(VLOOKUP("2.1.3",A7:Q107,5,FALSE),4),0) - IF(ISNA(VLOOKUP("10.11",A7:Q107,5,FALSE)),0,ROUND(VLOOKUP("10.11",A7:Q107,5,FALSE),4)))) / (IF(ISNUMBER(VLOOKUP("1.1",A7:Q107,5,FALSE)),ROUND(VLOOKUP("1.1",A7:Q107,5,FALSE),4),0) - IF(ISNUMBER(VLOOKUP("1.1.4",A7:Q107,5,FALSE)),ROUND(VLOOKUP("1.1.4",A7:Q107,5,FALSE),4),0) - IF(ISNA(VLOOKUP("11.1.1",A7:Q107,5,FALSE)),0,ROUND(VLOOKUP("11.1.1",A7:Q107,5,FALSE),4)))</f>
        <v>9.5094323041852877E-2</v>
      </c>
      <c r="F67" s="15">
        <f>((IF(ISNUMBER(VLOOKUP("1.1",A7:Q107,6,FALSE)),ROUND(VLOOKUP("1.1",A7:Q107,6,FALSE),4),0) - IF(ISNUMBER(VLOOKUP("9.1.1",A7:Q107,6,FALSE)),ROUND(VLOOKUP("9.1.1",A7:Q107,6,FALSE),4),0) - IF(ISNA(VLOOKUP("11.1.1",A7:Q107,6,FALSE)),0,ROUND(VLOOKUP("11.1.1",A7:Q107,6,FALSE),4))) - (IF(ISNUMBER(VLOOKUP("2.1",A7:Q107,6,FALSE)),ROUND(VLOOKUP("2.1",A7:Q107,6,FALSE),4),0) - IF(ISNUMBER(VLOOKUP("9.3.1",A7:Q107,6,FALSE)),ROUND(VLOOKUP("9.3.1",A7:Q107,6,FALSE),4),0) - IF(ISNUMBER(VLOOKUP("10.7.2.1.1",A7:Q107,6,FALSE)),ROUND(VLOOKUP("10.7.2.1.1",A7:Q107,6,FALSE),4),0) - IF(ISNUMBER(VLOOKUP("2.1.3",A7:Q107,6,FALSE)),ROUND(VLOOKUP("2.1.3",A7:Q107,6,FALSE),4),0) - IF(ISNA(VLOOKUP("10.11",A7:Q107,6,FALSE)),0,ROUND(VLOOKUP("10.11",A7:Q107,6,FALSE),4)))) / (IF(ISNUMBER(VLOOKUP("1.1",A7:Q107,6,FALSE)),ROUND(VLOOKUP("1.1",A7:Q107,6,FALSE),4),0) - IF(ISNUMBER(VLOOKUP("1.1.4",A7:Q107,6,FALSE)),ROUND(VLOOKUP("1.1.4",A7:Q107,6,FALSE),4),0) - IF(ISNA(VLOOKUP("11.1.1",A7:Q107,6,FALSE)),0,ROUND(VLOOKUP("11.1.1",A7:Q107,6,FALSE),4)))</f>
        <v>0.11133032732167679</v>
      </c>
      <c r="G67" s="15">
        <f>((IF(ISNUMBER(VLOOKUP("1.1",A7:Q107,7,FALSE)),ROUND(VLOOKUP("1.1",A7:Q107,7,FALSE),4),0) - IF(ISNUMBER(VLOOKUP("9.1.1",A7:Q107,7,FALSE)),ROUND(VLOOKUP("9.1.1",A7:Q107,7,FALSE),4),0) - IF(ISNA(VLOOKUP("11.1.1",A7:Q107,7,FALSE)),0,ROUND(VLOOKUP("11.1.1",A7:Q107,7,FALSE),4))) - (IF(ISNUMBER(VLOOKUP("2.1",A7:Q107,7,FALSE)),ROUND(VLOOKUP("2.1",A7:Q107,7,FALSE),4),0) - IF(ISNUMBER(VLOOKUP("9.3.1",A7:Q107,7,FALSE)),ROUND(VLOOKUP("9.3.1",A7:Q107,7,FALSE),4),0) - IF(ISNUMBER(VLOOKUP("10.7.2.1.1",A7:Q107,7,FALSE)),ROUND(VLOOKUP("10.7.2.1.1",A7:Q107,7,FALSE),4),0) - IF(ISNUMBER(VLOOKUP("2.1.3",A7:Q107,7,FALSE)),ROUND(VLOOKUP("2.1.3",A7:Q107,7,FALSE),4),0) - IF(ISNA(VLOOKUP("10.11",A7:Q107,7,FALSE)),0,ROUND(VLOOKUP("10.11",A7:Q107,7,FALSE),4)))) / (IF(ISNUMBER(VLOOKUP("1.1",A7:Q107,7,FALSE)),ROUND(VLOOKUP("1.1",A7:Q107,7,FALSE),4),0) - IF(ISNUMBER(VLOOKUP("1.1.4",A7:Q107,7,FALSE)),ROUND(VLOOKUP("1.1.4",A7:Q107,7,FALSE),4),0) - IF(ISNA(VLOOKUP("11.1.1",A7:Q107,7,FALSE)),0,ROUND(VLOOKUP("11.1.1",A7:Q107,7,FALSE),4)))</f>
        <v>3.5434775515212721E-2</v>
      </c>
      <c r="H67" s="15">
        <f>((IF(ISNUMBER(VLOOKUP("1.1",A7:Q107,8,FALSE)),ROUND(VLOOKUP("1.1",A7:Q107,8,FALSE),4),0) - IF(ISNUMBER(VLOOKUP("9.1.1",A7:Q107,8,FALSE)),ROUND(VLOOKUP("9.1.1",A7:Q107,8,FALSE),4),0) - IF(ISNA(VLOOKUP("11.1.1",A7:Q107,8,FALSE)),0,ROUND(VLOOKUP("11.1.1",A7:Q107,8,FALSE),4))) - (IF(ISNUMBER(VLOOKUP("2.1",A7:Q107,8,FALSE)),ROUND(VLOOKUP("2.1",A7:Q107,8,FALSE),4),0) - IF(ISNUMBER(VLOOKUP("9.3.1",A7:Q107,8,FALSE)),ROUND(VLOOKUP("9.3.1",A7:Q107,8,FALSE),4),0) - IF(ISNUMBER(VLOOKUP("10.7.2.1.1",A7:Q107,8,FALSE)),ROUND(VLOOKUP("10.7.2.1.1",A7:Q107,8,FALSE),4),0) - IF(ISNUMBER(VLOOKUP("2.1.3",A7:Q107,8,FALSE)),ROUND(VLOOKUP("2.1.3",A7:Q107,8,FALSE),4),0) - IF(ISNA(VLOOKUP("10.11",A7:Q107,8,FALSE)),0,ROUND(VLOOKUP("10.11",A7:Q107,8,FALSE),4)))) / (IF(ISNUMBER(VLOOKUP("1.1",A7:Q107,8,FALSE)),ROUND(VLOOKUP("1.1",A7:Q107,8,FALSE),4),0) - IF(ISNUMBER(VLOOKUP("1.1.4",A7:Q107,8,FALSE)),ROUND(VLOOKUP("1.1.4",A7:Q107,8,FALSE),4),0) - IF(ISNA(VLOOKUP("11.1.1",A7:Q107,8,FALSE)),0,ROUND(VLOOKUP("11.1.1",A7:Q107,8,FALSE),4)))</f>
        <v>0.13894971422134564</v>
      </c>
      <c r="I67" s="15">
        <f>((IF(ISNUMBER(VLOOKUP("1.1",A7:Q107,9,FALSE)),ROUND(VLOOKUP("1.1",A7:Q107,9,FALSE),4),0) - IF(ISNUMBER(VLOOKUP("9.1.1",A7:Q107,9,FALSE)),ROUND(VLOOKUP("9.1.1",A7:Q107,9,FALSE),4),0) - IF(ISNA(VLOOKUP("11.1.1",A7:Q107,9,FALSE)),0,ROUND(VLOOKUP("11.1.1",A7:Q107,9,FALSE),4))) - (IF(ISNUMBER(VLOOKUP("2.1",A7:Q107,9,FALSE)),ROUND(VLOOKUP("2.1",A7:Q107,9,FALSE),4),0) - IF(ISNUMBER(VLOOKUP("9.3.1",A7:Q107,9,FALSE)),ROUND(VLOOKUP("9.3.1",A7:Q107,9,FALSE),4),0) - IF(ISNUMBER(VLOOKUP("10.7.2.1.1",A7:Q107,9,FALSE)),ROUND(VLOOKUP("10.7.2.1.1",A7:Q107,9,FALSE),4),0) - IF(ISNUMBER(VLOOKUP("2.1.3",A7:Q107,9,FALSE)),ROUND(VLOOKUP("2.1.3",A7:Q107,9,FALSE),4),0) - IF(ISNA(VLOOKUP("10.11",A7:Q107,9,FALSE)),0,ROUND(VLOOKUP("10.11",A7:Q107,9,FALSE),4)))) / (IF(ISNUMBER(VLOOKUP("1.1",A7:Q107,9,FALSE)),ROUND(VLOOKUP("1.1",A7:Q107,9,FALSE),4),0) - IF(ISNUMBER(VLOOKUP("1.1.4",A7:Q107,9,FALSE)),ROUND(VLOOKUP("1.1.4",A7:Q107,9,FALSE),4),0) - IF(ISNA(VLOOKUP("11.1.1",A7:Q107,9,FALSE)),0,ROUND(VLOOKUP("11.1.1",A7:Q107,9,FALSE),4)))</f>
        <v>6.4858542588758644E-2</v>
      </c>
      <c r="J67" s="15">
        <f>((IF(ISNUMBER(VLOOKUP("1.1",A7:Q107,10,FALSE)),ROUND(VLOOKUP("1.1",A7:Q107,10,FALSE),4),0) - IF(ISNUMBER(VLOOKUP("9.1.1",A7:Q107,10,FALSE)),ROUND(VLOOKUP("9.1.1",A7:Q107,10,FALSE),4),0) - IF(ISNA(VLOOKUP("11.1.1",A7:Q107,10,FALSE)),0,ROUND(VLOOKUP("11.1.1",A7:Q107,10,FALSE),4))) - (IF(ISNUMBER(VLOOKUP("2.1",A7:Q107,10,FALSE)),ROUND(VLOOKUP("2.1",A7:Q107,10,FALSE),4),0) - IF(ISNUMBER(VLOOKUP("9.3.1",A7:Q107,10,FALSE)),ROUND(VLOOKUP("9.3.1",A7:Q107,10,FALSE),4),0) - IF(ISNUMBER(VLOOKUP("10.7.2.1.1",A7:Q107,10,FALSE)),ROUND(VLOOKUP("10.7.2.1.1",A7:Q107,10,FALSE),4),0) - IF(ISNUMBER(VLOOKUP("2.1.3",A7:Q107,10,FALSE)),ROUND(VLOOKUP("2.1.3",A7:Q107,10,FALSE),4),0) - IF(ISNA(VLOOKUP("10.11",A7:Q107,10,FALSE)),0,ROUND(VLOOKUP("10.11",A7:Q107,10,FALSE),4)))) / (IF(ISNUMBER(VLOOKUP("1.1",A7:Q107,10,FALSE)),ROUND(VLOOKUP("1.1",A7:Q107,10,FALSE),4),0) - IF(ISNUMBER(VLOOKUP("1.1.4",A7:Q107,10,FALSE)),ROUND(VLOOKUP("1.1.4",A7:Q107,10,FALSE),4),0) - IF(ISNA(VLOOKUP("11.1.1",A7:Q107,10,FALSE)),0,ROUND(VLOOKUP("11.1.1",A7:Q107,10,FALSE),4)))</f>
        <v>6.6331055393304209E-2</v>
      </c>
      <c r="K67" s="16">
        <f>((IF(ISNUMBER(VLOOKUP("1.1",A7:Q107,11,FALSE)),ROUND(VLOOKUP("1.1",A7:Q107,11,FALSE),4),0) - IF(ISNUMBER(VLOOKUP("9.1.1",A7:Q107,11,FALSE)),ROUND(VLOOKUP("9.1.1",A7:Q107,11,FALSE),4),0) - IF(ISNA(VLOOKUP("11.1.1",A7:Q107,11,FALSE)),0,ROUND(VLOOKUP("11.1.1",A7:Q107,11,FALSE),4))) - (IF(ISNUMBER(VLOOKUP("2.1",A7:Q107,11,FALSE)),ROUND(VLOOKUP("2.1",A7:Q107,11,FALSE),4),0) - IF(ISNUMBER(VLOOKUP("9.3.1",A7:Q107,11,FALSE)),ROUND(VLOOKUP("9.3.1",A7:Q107,11,FALSE),4),0) - IF(ISNUMBER(VLOOKUP("10.7.2.1.1",A7:Q107,11,FALSE)),ROUND(VLOOKUP("10.7.2.1.1",A7:Q107,11,FALSE),4),0) - IF(ISNUMBER(VLOOKUP("2.1.3",A7:Q107,11,FALSE)),ROUND(VLOOKUP("2.1.3",A7:Q107,11,FALSE),4),0) - IF(ISNA(VLOOKUP("10.11",A7:Q107,11,FALSE)),0,ROUND(VLOOKUP("10.11",A7:Q107,11,FALSE),4)))) / (IF(ISNUMBER(VLOOKUP("1.1",A7:Q107,11,FALSE)),ROUND(VLOOKUP("1.1",A7:Q107,11,FALSE),4),0) - IF(ISNUMBER(VLOOKUP("1.1.4",A7:Q107,11,FALSE)),ROUND(VLOOKUP("1.1.4",A7:Q107,11,FALSE),4),0) - IF(ISNA(VLOOKUP("11.1.1",A7:Q107,11,FALSE)),0,ROUND(VLOOKUP("11.1.1",A7:Q107,11,FALSE),4)))</f>
        <v>8.4612082982071332E-2</v>
      </c>
      <c r="L67" s="16">
        <f>((IF(ISNUMBER(VLOOKUP("1.1",A7:Q107,12,FALSE)),ROUND(VLOOKUP("1.1",A7:Q107,12,FALSE),4),0) - IF(ISNUMBER(VLOOKUP("9.1.1",A7:Q107,12,FALSE)),ROUND(VLOOKUP("9.1.1",A7:Q107,12,FALSE),4),0) - IF(ISNA(VLOOKUP("11.1.1",A7:Q107,12,FALSE)),0,ROUND(VLOOKUP("11.1.1",A7:Q107,12,FALSE),4))) - (IF(ISNUMBER(VLOOKUP("2.1",A7:Q107,12,FALSE)),ROUND(VLOOKUP("2.1",A7:Q107,12,FALSE),4),0) - IF(ISNUMBER(VLOOKUP("9.3.1",A7:Q107,12,FALSE)),ROUND(VLOOKUP("9.3.1",A7:Q107,12,FALSE),4),0) - IF(ISNUMBER(VLOOKUP("10.7.2.1.1",A7:Q107,12,FALSE)),ROUND(VLOOKUP("10.7.2.1.1",A7:Q107,12,FALSE),4),0) - IF(ISNUMBER(VLOOKUP("2.1.3",A7:Q107,12,FALSE)),ROUND(VLOOKUP("2.1.3",A7:Q107,12,FALSE),4),0) - IF(ISNA(VLOOKUP("10.11",A7:Q107,12,FALSE)),0,ROUND(VLOOKUP("10.11",A7:Q107,12,FALSE),4)))) / (IF(ISNUMBER(VLOOKUP("1.1",A7:Q107,12,FALSE)),ROUND(VLOOKUP("1.1",A7:Q107,12,FALSE),4),0) - IF(ISNUMBER(VLOOKUP("1.1.4",A7:Q107,12,FALSE)),ROUND(VLOOKUP("1.1.4",A7:Q107,12,FALSE),4),0) - IF(ISNA(VLOOKUP("11.1.1",A7:Q107,12,FALSE)),0,ROUND(VLOOKUP("11.1.1",A7:Q107,12,FALSE),4)))</f>
        <v>7.4947388309054577E-2</v>
      </c>
      <c r="M67" s="16">
        <f>((IF(ISNUMBER(VLOOKUP("1.1",A7:Q107,13,FALSE)),ROUND(VLOOKUP("1.1",A7:Q107,13,FALSE),4),0) - IF(ISNUMBER(VLOOKUP("9.1.1",A7:Q107,13,FALSE)),ROUND(VLOOKUP("9.1.1",A7:Q107,13,FALSE),4),0) - IF(ISNA(VLOOKUP("11.1.1",A7:Q107,13,FALSE)),0,ROUND(VLOOKUP("11.1.1",A7:Q107,13,FALSE),4))) - (IF(ISNUMBER(VLOOKUP("2.1",A7:Q107,13,FALSE)),ROUND(VLOOKUP("2.1",A7:Q107,13,FALSE),4),0) - IF(ISNUMBER(VLOOKUP("9.3.1",A7:Q107,13,FALSE)),ROUND(VLOOKUP("9.3.1",A7:Q107,13,FALSE),4),0) - IF(ISNUMBER(VLOOKUP("10.7.2.1.1",A7:Q107,13,FALSE)),ROUND(VLOOKUP("10.7.2.1.1",A7:Q107,13,FALSE),4),0) - IF(ISNUMBER(VLOOKUP("2.1.3",A7:Q107,13,FALSE)),ROUND(VLOOKUP("2.1.3",A7:Q107,13,FALSE),4),0) - IF(ISNA(VLOOKUP("10.11",A7:Q107,13,FALSE)),0,ROUND(VLOOKUP("10.11",A7:Q107,13,FALSE),4)))) / (IF(ISNUMBER(VLOOKUP("1.1",A7:Q107,13,FALSE)),ROUND(VLOOKUP("1.1",A7:Q107,13,FALSE),4),0) - IF(ISNUMBER(VLOOKUP("1.1.4",A7:Q107,13,FALSE)),ROUND(VLOOKUP("1.1.4",A7:Q107,13,FALSE),4),0) - IF(ISNA(VLOOKUP("11.1.1",A7:Q107,13,FALSE)),0,ROUND(VLOOKUP("11.1.1",A7:Q107,13,FALSE),4)))</f>
        <v>7.7474424613531628E-2</v>
      </c>
      <c r="N67" s="16">
        <f>((IF(ISNUMBER(VLOOKUP("1.1",A7:Q107,14,FALSE)),ROUND(VLOOKUP("1.1",A7:Q107,14,FALSE),4),0) - IF(ISNUMBER(VLOOKUP("9.1.1",A7:Q107,14,FALSE)),ROUND(VLOOKUP("9.1.1",A7:Q107,14,FALSE),4),0) - IF(ISNA(VLOOKUP("11.1.1",A7:Q107,14,FALSE)),0,ROUND(VLOOKUP("11.1.1",A7:Q107,14,FALSE),4))) - (IF(ISNUMBER(VLOOKUP("2.1",A7:Q107,14,FALSE)),ROUND(VLOOKUP("2.1",A7:Q107,14,FALSE),4),0) - IF(ISNUMBER(VLOOKUP("9.3.1",A7:Q107,14,FALSE)),ROUND(VLOOKUP("9.3.1",A7:Q107,14,FALSE),4),0) - IF(ISNUMBER(VLOOKUP("10.7.2.1.1",A7:Q107,14,FALSE)),ROUND(VLOOKUP("10.7.2.1.1",A7:Q107,14,FALSE),4),0) - IF(ISNUMBER(VLOOKUP("2.1.3",A7:Q107,14,FALSE)),ROUND(VLOOKUP("2.1.3",A7:Q107,14,FALSE),4),0) - IF(ISNA(VLOOKUP("10.11",A7:Q107,14,FALSE)),0,ROUND(VLOOKUP("10.11",A7:Q107,14,FALSE),4)))) / (IF(ISNUMBER(VLOOKUP("1.1",A7:Q107,14,FALSE)),ROUND(VLOOKUP("1.1",A7:Q107,14,FALSE),4),0) - IF(ISNUMBER(VLOOKUP("1.1.4",A7:Q107,14,FALSE)),ROUND(VLOOKUP("1.1.4",A7:Q107,14,FALSE),4),0) - IF(ISNA(VLOOKUP("11.1.1",A7:Q107,14,FALSE)),0,ROUND(VLOOKUP("11.1.1",A7:Q107,14,FALSE),4)))</f>
        <v>7.7446635483630108E-2</v>
      </c>
      <c r="O67" s="16">
        <f>((IF(ISNUMBER(VLOOKUP("1.1",A7:Q107,15,FALSE)),ROUND(VLOOKUP("1.1",A7:Q107,15,FALSE),4),0) - IF(ISNUMBER(VLOOKUP("9.1.1",A7:Q107,15,FALSE)),ROUND(VLOOKUP("9.1.1",A7:Q107,15,FALSE),4),0) - IF(ISNA(VLOOKUP("11.1.1",A7:Q107,15,FALSE)),0,ROUND(VLOOKUP("11.1.1",A7:Q107,15,FALSE),4))) - (IF(ISNUMBER(VLOOKUP("2.1",A7:Q107,15,FALSE)),ROUND(VLOOKUP("2.1",A7:Q107,15,FALSE),4),0) - IF(ISNUMBER(VLOOKUP("9.3.1",A7:Q107,15,FALSE)),ROUND(VLOOKUP("9.3.1",A7:Q107,15,FALSE),4),0) - IF(ISNUMBER(VLOOKUP("10.7.2.1.1",A7:Q107,15,FALSE)),ROUND(VLOOKUP("10.7.2.1.1",A7:Q107,15,FALSE),4),0) - IF(ISNUMBER(VLOOKUP("2.1.3",A7:Q107,15,FALSE)),ROUND(VLOOKUP("2.1.3",A7:Q107,15,FALSE),4),0) - IF(ISNA(VLOOKUP("10.11",A7:Q107,15,FALSE)),0,ROUND(VLOOKUP("10.11",A7:Q107,15,FALSE),4)))) / (IF(ISNUMBER(VLOOKUP("1.1",A7:Q107,15,FALSE)),ROUND(VLOOKUP("1.1",A7:Q107,15,FALSE),4),0) - IF(ISNUMBER(VLOOKUP("1.1.4",A7:Q107,15,FALSE)),ROUND(VLOOKUP("1.1.4",A7:Q107,15,FALSE),4),0) - IF(ISNA(VLOOKUP("11.1.1",A7:Q107,15,FALSE)),0,ROUND(VLOOKUP("11.1.1",A7:Q107,15,FALSE),4)))</f>
        <v>7.6677436728145018E-2</v>
      </c>
      <c r="P67" s="16">
        <f>((IF(ISNUMBER(VLOOKUP("1.1",A7:Q107,16,FALSE)),ROUND(VLOOKUP("1.1",A7:Q107,16,FALSE),4),0) - IF(ISNUMBER(VLOOKUP("9.1.1",A7:Q107,16,FALSE)),ROUND(VLOOKUP("9.1.1",A7:Q107,16,FALSE),4),0) - IF(ISNA(VLOOKUP("11.1.1",A7:Q107,16,FALSE)),0,ROUND(VLOOKUP("11.1.1",A7:Q107,16,FALSE),4))) - (IF(ISNUMBER(VLOOKUP("2.1",A7:Q107,16,FALSE)),ROUND(VLOOKUP("2.1",A7:Q107,16,FALSE),4),0) - IF(ISNUMBER(VLOOKUP("9.3.1",A7:Q107,16,FALSE)),ROUND(VLOOKUP("9.3.1",A7:Q107,16,FALSE),4),0) - IF(ISNUMBER(VLOOKUP("10.7.2.1.1",A7:Q107,16,FALSE)),ROUND(VLOOKUP("10.7.2.1.1",A7:Q107,16,FALSE),4),0) - IF(ISNUMBER(VLOOKUP("2.1.3",A7:Q107,16,FALSE)),ROUND(VLOOKUP("2.1.3",A7:Q107,16,FALSE),4),0) - IF(ISNA(VLOOKUP("10.11",A7:Q107,16,FALSE)),0,ROUND(VLOOKUP("10.11",A7:Q107,16,FALSE),4)))) / (IF(ISNUMBER(VLOOKUP("1.1",A7:Q107,16,FALSE)),ROUND(VLOOKUP("1.1",A7:Q107,16,FALSE),4),0) - IF(ISNUMBER(VLOOKUP("1.1.4",A7:Q107,16,FALSE)),ROUND(VLOOKUP("1.1.4",A7:Q107,16,FALSE),4),0) - IF(ISNA(VLOOKUP("11.1.1",A7:Q107,16,FALSE)),0,ROUND(VLOOKUP("11.1.1",A7:Q107,16,FALSE),4)))</f>
        <v>7.6611216419951819E-2</v>
      </c>
      <c r="Q67" s="16">
        <f>((IF(ISNUMBER(VLOOKUP("1.1",A7:Q107,17,FALSE)),ROUND(VLOOKUP("1.1",A7:Q107,17,FALSE),4),0) - IF(ISNUMBER(VLOOKUP("9.1.1",A7:Q107,17,FALSE)),ROUND(VLOOKUP("9.1.1",A7:Q107,17,FALSE),4),0) - IF(ISNA(VLOOKUP("11.1.1",A7:Q107,17,FALSE)),0,ROUND(VLOOKUP("11.1.1",A7:Q107,17,FALSE),4))) - (IF(ISNUMBER(VLOOKUP("2.1",A7:Q107,17,FALSE)),ROUND(VLOOKUP("2.1",A7:Q107,17,FALSE),4),0) - IF(ISNUMBER(VLOOKUP("9.3.1",A7:Q107,17,FALSE)),ROUND(VLOOKUP("9.3.1",A7:Q107,17,FALSE),4),0) - IF(ISNUMBER(VLOOKUP("10.7.2.1.1",A7:Q107,17,FALSE)),ROUND(VLOOKUP("10.7.2.1.1",A7:Q107,17,FALSE),4),0) - IF(ISNUMBER(VLOOKUP("2.1.3",A7:Q107,17,FALSE)),ROUND(VLOOKUP("2.1.3",A7:Q107,17,FALSE),4),0) - IF(ISNA(VLOOKUP("10.11",A7:Q107,17,FALSE)),0,ROUND(VLOOKUP("10.11",A7:Q107,17,FALSE),4)))) / (IF(ISNUMBER(VLOOKUP("1.1",A7:Q107,17,FALSE)),ROUND(VLOOKUP("1.1",A7:Q107,17,FALSE),4),0) - IF(ISNUMBER(VLOOKUP("1.1.4",A7:Q107,17,FALSE)),ROUND(VLOOKUP("1.1.4",A7:Q107,17,FALSE),4),0) - IF(ISNA(VLOOKUP("11.1.1",A7:Q107,17,FALSE)),0,ROUND(VLOOKUP("11.1.1",A7:Q107,17,FALSE),4)))</f>
        <v>7.6478652425968241E-2</v>
      </c>
    </row>
    <row r="68" spans="1:17" ht="46.5" customHeight="1" x14ac:dyDescent="0.25">
      <c r="A68" s="13" t="s">
        <v>133</v>
      </c>
      <c r="B68" s="14" t="s">
        <v>134</v>
      </c>
      <c r="C68" s="15">
        <f>((IF(ISNUMBER(VLOOKUP("1.1",A7:Q107,3,FALSE)),ROUND(VLOOKUP("1.1",A7:Q107,3,FALSE),4),0) - IF(ISNUMBER(VLOOKUP("9.1.1",A7:Q107,3,FALSE)),ROUND(VLOOKUP("9.1.1",A7:Q107,3,FALSE),4),0) - IF(ISNA(VLOOKUP("11.1.1",A7:Q107,3,FALSE)),0,ROUND(VLOOKUP("11.1.1",A7:Q107,3,FALSE),4))) + IF(ISNUMBER(VLOOKUP("1.2.1",A7:Q107,3,FALSE)),ROUND(VLOOKUP("1.2.1",A7:Q107,3,FALSE),4),0) - (IF(ISNUMBER(VLOOKUP("2.1",A7:Q107,3,FALSE)),ROUND(VLOOKUP("2.1",A7:Q107,3,FALSE),4),0) - IF(ISNUMBER(VLOOKUP("9.3.1",A7:Q107,3,FALSE)),ROUND(VLOOKUP("9.3.1",A7:Q107,3,FALSE),4),0) - IF(ISNUMBER(VLOOKUP("10.7.2.1.1",A7:Q107,3,FALSE)),ROUND(VLOOKUP("10.7.2.1.1",A7:Q107,3,FALSE),4),0) - IF(ISNUMBER(VLOOKUP("2.1.3",A7:Q107,3,FALSE)),ROUND(VLOOKUP("2.1.3",A7:Q107,3,FALSE),4),0) - IF(ISNA(VLOOKUP("10.11",A7:Q107,3,FALSE)),0,ROUND(VLOOKUP("10.11",A7:Q107,3,FALSE),4)))) / (IF(ISNUMBER(VLOOKUP("1.1",A7:Q107,3,FALSE)),ROUND(VLOOKUP("1.1",A7:Q107,3,FALSE),4),0) - IF(ISNUMBER(VLOOKUP("1.1.4",A7:Q107,3,FALSE)),ROUND(VLOOKUP("1.1.4",A7:Q107,3,FALSE),4),0) - IF(ISNA(VLOOKUP("11.1.1",A7:Q107,3,FALSE)),0,ROUND(VLOOKUP("11.1.1",A7:Q107,3,FALSE),4)))</f>
        <v>0.10926310018970678</v>
      </c>
      <c r="D68" s="15">
        <f>((IF(ISNUMBER(VLOOKUP("1.1",A7:Q107,4,FALSE)),ROUND(VLOOKUP("1.1",A7:Q107,4,FALSE),4),0) - IF(ISNUMBER(VLOOKUP("9.1.1",A7:Q107,4,FALSE)),ROUND(VLOOKUP("9.1.1",A7:Q107,4,FALSE),4),0) - IF(ISNA(VLOOKUP("11.1.1",A7:Q107,4,FALSE)),0,ROUND(VLOOKUP("11.1.1",A7:Q107,4,FALSE),4))) + IF(ISNUMBER(VLOOKUP("1.2.1",A7:Q107,4,FALSE)),ROUND(VLOOKUP("1.2.1",A7:Q107,4,FALSE),4),0) - (IF(ISNUMBER(VLOOKUP("2.1",A7:Q107,4,FALSE)),ROUND(VLOOKUP("2.1",A7:Q107,4,FALSE),4),0) - IF(ISNUMBER(VLOOKUP("9.3.1",A7:Q107,4,FALSE)),ROUND(VLOOKUP("9.3.1",A7:Q107,4,FALSE),4),0) - IF(ISNUMBER(VLOOKUP("10.7.2.1.1",A7:Q107,4,FALSE)),ROUND(VLOOKUP("10.7.2.1.1",A7:Q107,4,FALSE),4),0) - IF(ISNUMBER(VLOOKUP("2.1.3",A7:Q107,4,FALSE)),ROUND(VLOOKUP("2.1.3",A7:Q107,4,FALSE),4),0) - IF(ISNA(VLOOKUP("10.11",A7:Q107,4,FALSE)),0,ROUND(VLOOKUP("10.11",A7:Q107,4,FALSE),4)))) / (IF(ISNUMBER(VLOOKUP("1.1",A7:Q107,4,FALSE)),ROUND(VLOOKUP("1.1",A7:Q107,4,FALSE),4),0) - IF(ISNUMBER(VLOOKUP("1.1.4",A7:Q107,4,FALSE)),ROUND(VLOOKUP("1.1.4",A7:Q107,4,FALSE),4),0) - IF(ISNA(VLOOKUP("11.1.1",A7:Q107,4,FALSE)),0,ROUND(VLOOKUP("11.1.1",A7:Q107,4,FALSE),4)))</f>
        <v>0.12381874702747972</v>
      </c>
      <c r="E68" s="15">
        <f>((IF(ISNUMBER(VLOOKUP("1.1",A7:Q107,5,FALSE)),ROUND(VLOOKUP("1.1",A7:Q107,5,FALSE),4),0) - IF(ISNUMBER(VLOOKUP("9.1.1",A7:Q107,5,FALSE)),ROUND(VLOOKUP("9.1.1",A7:Q107,5,FALSE),4),0) - IF(ISNA(VLOOKUP("11.1.1",A7:Q107,5,FALSE)),0,ROUND(VLOOKUP("11.1.1",A7:Q107,5,FALSE),4))) + IF(ISNUMBER(VLOOKUP("1.2.1",A7:Q107,5,FALSE)),ROUND(VLOOKUP("1.2.1",A7:Q107,5,FALSE),4),0) - (IF(ISNUMBER(VLOOKUP("2.1",A7:Q107,5,FALSE)),ROUND(VLOOKUP("2.1",A7:Q107,5,FALSE),4),0) - IF(ISNUMBER(VLOOKUP("9.3.1",A7:Q107,5,FALSE)),ROUND(VLOOKUP("9.3.1",A7:Q107,5,FALSE),4),0) - IF(ISNUMBER(VLOOKUP("10.7.2.1.1",A7:Q107,5,FALSE)),ROUND(VLOOKUP("10.7.2.1.1",A7:Q107,5,FALSE),4),0) - IF(ISNUMBER(VLOOKUP("2.1.3",A7:Q107,5,FALSE)),ROUND(VLOOKUP("2.1.3",A7:Q107,5,FALSE),4),0) - IF(ISNA(VLOOKUP("10.11",A7:Q107,5,FALSE)),0,ROUND(VLOOKUP("10.11",A7:Q107,5,FALSE),4)))) / (IF(ISNUMBER(VLOOKUP("1.1",A7:Q107,5,FALSE)),ROUND(VLOOKUP("1.1",A7:Q107,5,FALSE),4),0) - IF(ISNUMBER(VLOOKUP("1.1.4",A7:Q107,5,FALSE)),ROUND(VLOOKUP("1.1.4",A7:Q107,5,FALSE),4),0) - IF(ISNA(VLOOKUP("11.1.1",A7:Q107,5,FALSE)),0,ROUND(VLOOKUP("11.1.1",A7:Q107,5,FALSE),4)))</f>
        <v>9.692476705161876E-2</v>
      </c>
      <c r="F68" s="15">
        <f>((IF(ISNUMBER(VLOOKUP("1.1",A7:Q107,6,FALSE)),ROUND(VLOOKUP("1.1",A7:Q107,6,FALSE),4),0) - IF(ISNUMBER(VLOOKUP("9.1.1",A7:Q107,6,FALSE)),ROUND(VLOOKUP("9.1.1",A7:Q107,6,FALSE),4),0) - IF(ISNA(VLOOKUP("11.1.1",A7:Q107,6,FALSE)),0,ROUND(VLOOKUP("11.1.1",A7:Q107,6,FALSE),4))) + IF(ISNUMBER(VLOOKUP("1.2.1",A7:Q107,6,FALSE)),ROUND(VLOOKUP("1.2.1",A7:Q107,6,FALSE),4),0) - (IF(ISNUMBER(VLOOKUP("2.1",A7:Q107,6,FALSE)),ROUND(VLOOKUP("2.1",A7:Q107,6,FALSE),4),0) - IF(ISNUMBER(VLOOKUP("9.3.1",A7:Q107,6,FALSE)),ROUND(VLOOKUP("9.3.1",A7:Q107,6,FALSE),4),0) - IF(ISNUMBER(VLOOKUP("10.7.2.1.1",A7:Q107,6,FALSE)),ROUND(VLOOKUP("10.7.2.1.1",A7:Q107,6,FALSE),4),0) - IF(ISNUMBER(VLOOKUP("2.1.3",A7:Q107,6,FALSE)),ROUND(VLOOKUP("2.1.3",A7:Q107,6,FALSE),4),0) - IF(ISNA(VLOOKUP("10.11",A7:Q107,6,FALSE)),0,ROUND(VLOOKUP("10.11",A7:Q107,6,FALSE),4)))) / (IF(ISNUMBER(VLOOKUP("1.1",A7:Q107,6,FALSE)),ROUND(VLOOKUP("1.1",A7:Q107,6,FALSE),4),0) - IF(ISNUMBER(VLOOKUP("1.1.4",A7:Q107,6,FALSE)),ROUND(VLOOKUP("1.1.4",A7:Q107,6,FALSE),4),0) - IF(ISNA(VLOOKUP("11.1.1",A7:Q107,6,FALSE)),0,ROUND(VLOOKUP("11.1.1",A7:Q107,6,FALSE),4)))</f>
        <v>0.11253229186720284</v>
      </c>
      <c r="G68" s="15">
        <f>((IF(ISNUMBER(VLOOKUP("1.1",A7:Q107,7,FALSE)),ROUND(VLOOKUP("1.1",A7:Q107,7,FALSE),4),0) - IF(ISNUMBER(VLOOKUP("9.1.1",A7:Q107,7,FALSE)),ROUND(VLOOKUP("9.1.1",A7:Q107,7,FALSE),4),0) - IF(ISNA(VLOOKUP("11.1.1",A7:Q107,7,FALSE)),0,ROUND(VLOOKUP("11.1.1",A7:Q107,7,FALSE),4))) + IF(ISNUMBER(VLOOKUP("1.2.1",A7:Q107,7,FALSE)),ROUND(VLOOKUP("1.2.1",A7:Q107,7,FALSE),4),0) - (IF(ISNUMBER(VLOOKUP("2.1",A7:Q107,7,FALSE)),ROUND(VLOOKUP("2.1",A7:Q107,7,FALSE),4),0) - IF(ISNUMBER(VLOOKUP("9.3.1",A7:Q107,7,FALSE)),ROUND(VLOOKUP("9.3.1",A7:Q107,7,FALSE),4),0) - IF(ISNUMBER(VLOOKUP("10.7.2.1.1",A7:Q107,7,FALSE)),ROUND(VLOOKUP("10.7.2.1.1",A7:Q107,7,FALSE),4),0) - IF(ISNUMBER(VLOOKUP("2.1.3",A7:Q107,7,FALSE)),ROUND(VLOOKUP("2.1.3",A7:Q107,7,FALSE),4),0) - IF(ISNA(VLOOKUP("10.11",A7:Q107,7,FALSE)),0,ROUND(VLOOKUP("10.11",A7:Q107,7,FALSE),4)))) / (IF(ISNUMBER(VLOOKUP("1.1",A7:Q107,7,FALSE)),ROUND(VLOOKUP("1.1",A7:Q107,7,FALSE),4),0) - IF(ISNUMBER(VLOOKUP("1.1.4",A7:Q107,7,FALSE)),ROUND(VLOOKUP("1.1.4",A7:Q107,7,FALSE),4),0) - IF(ISNA(VLOOKUP("11.1.1",A7:Q107,7,FALSE)),0,ROUND(VLOOKUP("11.1.1",A7:Q107,7,FALSE),4)))</f>
        <v>3.873813215729055E-2</v>
      </c>
      <c r="H68" s="15">
        <f>((IF(ISNUMBER(VLOOKUP("1.1",A7:Q107,8,FALSE)),ROUND(VLOOKUP("1.1",A7:Q107,8,FALSE),4),0) - IF(ISNUMBER(VLOOKUP("9.1.1",A7:Q107,8,FALSE)),ROUND(VLOOKUP("9.1.1",A7:Q107,8,FALSE),4),0) - IF(ISNA(VLOOKUP("11.1.1",A7:Q107,8,FALSE)),0,ROUND(VLOOKUP("11.1.1",A7:Q107,8,FALSE),4))) + IF(ISNUMBER(VLOOKUP("1.2.1",A7:Q107,8,FALSE)),ROUND(VLOOKUP("1.2.1",A7:Q107,8,FALSE),4),0) - (IF(ISNUMBER(VLOOKUP("2.1",A7:Q107,8,FALSE)),ROUND(VLOOKUP("2.1",A7:Q107,8,FALSE),4),0) - IF(ISNUMBER(VLOOKUP("9.3.1",A7:Q107,8,FALSE)),ROUND(VLOOKUP("9.3.1",A7:Q107,8,FALSE),4),0) - IF(ISNUMBER(VLOOKUP("10.7.2.1.1",A7:Q107,8,FALSE)),ROUND(VLOOKUP("10.7.2.1.1",A7:Q107,8,FALSE),4),0) - IF(ISNUMBER(VLOOKUP("2.1.3",A7:Q107,8,FALSE)),ROUND(VLOOKUP("2.1.3",A7:Q107,8,FALSE),4),0) - IF(ISNA(VLOOKUP("10.11",A7:Q107,8,FALSE)),0,ROUND(VLOOKUP("10.11",A7:Q107,8,FALSE),4)))) / (IF(ISNUMBER(VLOOKUP("1.1",A7:Q107,8,FALSE)),ROUND(VLOOKUP("1.1",A7:Q107,8,FALSE),4),0) - IF(ISNUMBER(VLOOKUP("1.1.4",A7:Q107,8,FALSE)),ROUND(VLOOKUP("1.1.4",A7:Q107,8,FALSE),4),0) - IF(ISNA(VLOOKUP("11.1.1",A7:Q107,8,FALSE)),0,ROUND(VLOOKUP("11.1.1",A7:Q107,8,FALSE),4)))</f>
        <v>0.14153827866944582</v>
      </c>
      <c r="I68" s="15">
        <f>((IF(ISNUMBER(VLOOKUP("1.1",A7:Q107,9,FALSE)),ROUND(VLOOKUP("1.1",A7:Q107,9,FALSE),4),0) - IF(ISNUMBER(VLOOKUP("9.1.1",A7:Q107,9,FALSE)),ROUND(VLOOKUP("9.1.1",A7:Q107,9,FALSE),4),0) - IF(ISNA(VLOOKUP("11.1.1",A7:Q107,9,FALSE)),0,ROUND(VLOOKUP("11.1.1",A7:Q107,9,FALSE),4))) + IF(ISNUMBER(VLOOKUP("1.2.1",A7:Q107,9,FALSE)),ROUND(VLOOKUP("1.2.1",A7:Q107,9,FALSE),4),0) - (IF(ISNUMBER(VLOOKUP("2.1",A7:Q107,9,FALSE)),ROUND(VLOOKUP("2.1",A7:Q107,9,FALSE),4),0) - IF(ISNUMBER(VLOOKUP("9.3.1",A7:Q107,9,FALSE)),ROUND(VLOOKUP("9.3.1",A7:Q107,9,FALSE),4),0) - IF(ISNUMBER(VLOOKUP("10.7.2.1.1",A7:Q107,9,FALSE)),ROUND(VLOOKUP("10.7.2.1.1",A7:Q107,9,FALSE),4),0) - IF(ISNUMBER(VLOOKUP("2.1.3",A7:Q107,9,FALSE)),ROUND(VLOOKUP("2.1.3",A7:Q107,9,FALSE),4),0) - IF(ISNA(VLOOKUP("10.11",A7:Q107,9,FALSE)),0,ROUND(VLOOKUP("10.11",A7:Q107,9,FALSE),4)))) / (IF(ISNUMBER(VLOOKUP("1.1",A7:Q107,9,FALSE)),ROUND(VLOOKUP("1.1",A7:Q107,9,FALSE),4),0) - IF(ISNUMBER(VLOOKUP("1.1.4",A7:Q107,9,FALSE)),ROUND(VLOOKUP("1.1.4",A7:Q107,9,FALSE),4),0) - IF(ISNA(VLOOKUP("11.1.1",A7:Q107,9,FALSE)),0,ROUND(VLOOKUP("11.1.1",A7:Q107,9,FALSE),4)))</f>
        <v>6.7467249186840536E-2</v>
      </c>
      <c r="J68" s="15">
        <f>((IF(ISNUMBER(VLOOKUP("1.1",A7:Q107,10,FALSE)),ROUND(VLOOKUP("1.1",A7:Q107,10,FALSE),4),0) - IF(ISNUMBER(VLOOKUP("9.1.1",A7:Q107,10,FALSE)),ROUND(VLOOKUP("9.1.1",A7:Q107,10,FALSE),4),0) - IF(ISNA(VLOOKUP("11.1.1",A7:Q107,10,FALSE)),0,ROUND(VLOOKUP("11.1.1",A7:Q107,10,FALSE),4))) + IF(ISNUMBER(VLOOKUP("1.2.1",A7:Q107,10,FALSE)),ROUND(VLOOKUP("1.2.1",A7:Q107,10,FALSE),4),0) - (IF(ISNUMBER(VLOOKUP("2.1",A7:Q107,10,FALSE)),ROUND(VLOOKUP("2.1",A7:Q107,10,FALSE),4),0) - IF(ISNUMBER(VLOOKUP("9.3.1",A7:Q107,10,FALSE)),ROUND(VLOOKUP("9.3.1",A7:Q107,10,FALSE),4),0) - IF(ISNUMBER(VLOOKUP("10.7.2.1.1",A7:Q107,10,FALSE)),ROUND(VLOOKUP("10.7.2.1.1",A7:Q107,10,FALSE),4),0) - IF(ISNUMBER(VLOOKUP("2.1.3",A7:Q107,10,FALSE)),ROUND(VLOOKUP("2.1.3",A7:Q107,10,FALSE),4),0) - IF(ISNA(VLOOKUP("10.11",A7:Q107,10,FALSE)),0,ROUND(VLOOKUP("10.11",A7:Q107,10,FALSE),4)))) / (IF(ISNUMBER(VLOOKUP("1.1",A7:Q107,10,FALSE)),ROUND(VLOOKUP("1.1",A7:Q107,10,FALSE),4),0) - IF(ISNUMBER(VLOOKUP("1.1.4",A7:Q107,10,FALSE)),ROUND(VLOOKUP("1.1.4",A7:Q107,10,FALSE),4),0) - IF(ISNA(VLOOKUP("11.1.1",A7:Q107,10,FALSE)),0,ROUND(VLOOKUP("11.1.1",A7:Q107,10,FALSE),4)))</f>
        <v>6.8912527327118694E-2</v>
      </c>
      <c r="K68" s="16">
        <f>((IF(ISNUMBER(VLOOKUP("1.1",A7:Q107,11,FALSE)),ROUND(VLOOKUP("1.1",A7:Q107,11,FALSE),4),0) - IF(ISNUMBER(VLOOKUP("9.1.1",A7:Q107,11,FALSE)),ROUND(VLOOKUP("9.1.1",A7:Q107,11,FALSE),4),0) - IF(ISNA(VLOOKUP("11.1.1",A7:Q107,11,FALSE)),0,ROUND(VLOOKUP("11.1.1",A7:Q107,11,FALSE),4))) + IF(ISNUMBER(VLOOKUP("1.2.1",A7:Q107,11,FALSE)),ROUND(VLOOKUP("1.2.1",A7:Q107,11,FALSE),4),0) - (IF(ISNUMBER(VLOOKUP("2.1",A7:Q107,11,FALSE)),ROUND(VLOOKUP("2.1",A7:Q107,11,FALSE),4),0) - IF(ISNUMBER(VLOOKUP("9.3.1",A7:Q107,11,FALSE)),ROUND(VLOOKUP("9.3.1",A7:Q107,11,FALSE),4),0) - IF(ISNUMBER(VLOOKUP("10.7.2.1.1",A7:Q107,11,FALSE)),ROUND(VLOOKUP("10.7.2.1.1",A7:Q107,11,FALSE),4),0) - IF(ISNUMBER(VLOOKUP("2.1.3",A7:Q107,11,FALSE)),ROUND(VLOOKUP("2.1.3",A7:Q107,11,FALSE),4),0) - IF(ISNA(VLOOKUP("10.11",A7:Q107,11,FALSE)),0,ROUND(VLOOKUP("10.11",A7:Q107,11,FALSE),4)))) / (IF(ISNUMBER(VLOOKUP("1.1",A7:Q107,11,FALSE)),ROUND(VLOOKUP("1.1",A7:Q107,11,FALSE),4),0) - IF(ISNUMBER(VLOOKUP("1.1.4",A7:Q107,11,FALSE)),ROUND(VLOOKUP("1.1.4",A7:Q107,11,FALSE),4),0) - IF(ISNA(VLOOKUP("11.1.1",A7:Q107,11,FALSE)),0,ROUND(VLOOKUP("11.1.1",A7:Q107,11,FALSE),4)))</f>
        <v>8.7099379496426585E-2</v>
      </c>
      <c r="L68" s="16">
        <f>((IF(ISNUMBER(VLOOKUP("1.1",A7:Q107,12,FALSE)),ROUND(VLOOKUP("1.1",A7:Q107,12,FALSE),4),0) - IF(ISNUMBER(VLOOKUP("9.1.1",A7:Q107,12,FALSE)),ROUND(VLOOKUP("9.1.1",A7:Q107,12,FALSE),4),0) - IF(ISNA(VLOOKUP("11.1.1",A7:Q107,12,FALSE)),0,ROUND(VLOOKUP("11.1.1",A7:Q107,12,FALSE),4))) + IF(ISNUMBER(VLOOKUP("1.2.1",A7:Q107,12,FALSE)),ROUND(VLOOKUP("1.2.1",A7:Q107,12,FALSE),4),0) - (IF(ISNUMBER(VLOOKUP("2.1",A7:Q107,12,FALSE)),ROUND(VLOOKUP("2.1",A7:Q107,12,FALSE),4),0) - IF(ISNUMBER(VLOOKUP("9.3.1",A7:Q107,12,FALSE)),ROUND(VLOOKUP("9.3.1",A7:Q107,12,FALSE),4),0) - IF(ISNUMBER(VLOOKUP("10.7.2.1.1",A7:Q107,12,FALSE)),ROUND(VLOOKUP("10.7.2.1.1",A7:Q107,12,FALSE),4),0) - IF(ISNUMBER(VLOOKUP("2.1.3",A7:Q107,12,FALSE)),ROUND(VLOOKUP("2.1.3",A7:Q107,12,FALSE),4),0) - IF(ISNA(VLOOKUP("10.11",A7:Q107,12,FALSE)),0,ROUND(VLOOKUP("10.11",A7:Q107,12,FALSE),4)))) / (IF(ISNUMBER(VLOOKUP("1.1",A7:Q107,12,FALSE)),ROUND(VLOOKUP("1.1",A7:Q107,12,FALSE),4),0) - IF(ISNUMBER(VLOOKUP("1.1.4",A7:Q107,12,FALSE)),ROUND(VLOOKUP("1.1.4",A7:Q107,12,FALSE),4),0) - IF(ISNA(VLOOKUP("11.1.1",A7:Q107,12,FALSE)),0,ROUND(VLOOKUP("11.1.1",A7:Q107,12,FALSE),4)))</f>
        <v>7.7149367535089497E-2</v>
      </c>
      <c r="M68" s="16">
        <f>((IF(ISNUMBER(VLOOKUP("1.1",A7:Q107,13,FALSE)),ROUND(VLOOKUP("1.1",A7:Q107,13,FALSE),4),0) - IF(ISNUMBER(VLOOKUP("9.1.1",A7:Q107,13,FALSE)),ROUND(VLOOKUP("9.1.1",A7:Q107,13,FALSE),4),0) - IF(ISNA(VLOOKUP("11.1.1",A7:Q107,13,FALSE)),0,ROUND(VLOOKUP("11.1.1",A7:Q107,13,FALSE),4))) + IF(ISNUMBER(VLOOKUP("1.2.1",A7:Q107,13,FALSE)),ROUND(VLOOKUP("1.2.1",A7:Q107,13,FALSE),4),0) - (IF(ISNUMBER(VLOOKUP("2.1",A7:Q107,13,FALSE)),ROUND(VLOOKUP("2.1",A7:Q107,13,FALSE),4),0) - IF(ISNUMBER(VLOOKUP("9.3.1",A7:Q107,13,FALSE)),ROUND(VLOOKUP("9.3.1",A7:Q107,13,FALSE),4),0) - IF(ISNUMBER(VLOOKUP("10.7.2.1.1",A7:Q107,13,FALSE)),ROUND(VLOOKUP("10.7.2.1.1",A7:Q107,13,FALSE),4),0) - IF(ISNUMBER(VLOOKUP("2.1.3",A7:Q107,13,FALSE)),ROUND(VLOOKUP("2.1.3",A7:Q107,13,FALSE),4),0) - IF(ISNA(VLOOKUP("10.11",A7:Q107,13,FALSE)),0,ROUND(VLOOKUP("10.11",A7:Q107,13,FALSE),4)))) / (IF(ISNUMBER(VLOOKUP("1.1",A7:Q107,13,FALSE)),ROUND(VLOOKUP("1.1",A7:Q107,13,FALSE),4),0) - IF(ISNUMBER(VLOOKUP("1.1.4",A7:Q107,13,FALSE)),ROUND(VLOOKUP("1.1.4",A7:Q107,13,FALSE),4),0) - IF(ISNA(VLOOKUP("11.1.1",A7:Q107,13,FALSE)),0,ROUND(VLOOKUP("11.1.1",A7:Q107,13,FALSE),4)))</f>
        <v>7.8432495073914282E-2</v>
      </c>
      <c r="N68" s="16">
        <f>((IF(ISNUMBER(VLOOKUP("1.1",A7:Q107,14,FALSE)),ROUND(VLOOKUP("1.1",A7:Q107,14,FALSE),4),0) - IF(ISNUMBER(VLOOKUP("9.1.1",A7:Q107,14,FALSE)),ROUND(VLOOKUP("9.1.1",A7:Q107,14,FALSE),4),0) - IF(ISNA(VLOOKUP("11.1.1",A7:Q107,14,FALSE)),0,ROUND(VLOOKUP("11.1.1",A7:Q107,14,FALSE),4))) + IF(ISNUMBER(VLOOKUP("1.2.1",A7:Q107,14,FALSE)),ROUND(VLOOKUP("1.2.1",A7:Q107,14,FALSE),4),0) - (IF(ISNUMBER(VLOOKUP("2.1",A7:Q107,14,FALSE)),ROUND(VLOOKUP("2.1",A7:Q107,14,FALSE),4),0) - IF(ISNUMBER(VLOOKUP("9.3.1",A7:Q107,14,FALSE)),ROUND(VLOOKUP("9.3.1",A7:Q107,14,FALSE),4),0) - IF(ISNUMBER(VLOOKUP("10.7.2.1.1",A7:Q107,14,FALSE)),ROUND(VLOOKUP("10.7.2.1.1",A7:Q107,14,FALSE),4),0) - IF(ISNUMBER(VLOOKUP("2.1.3",A7:Q107,14,FALSE)),ROUND(VLOOKUP("2.1.3",A7:Q107,14,FALSE),4),0) - IF(ISNA(VLOOKUP("10.11",A7:Q107,14,FALSE)),0,ROUND(VLOOKUP("10.11",A7:Q107,14,FALSE),4)))) / (IF(ISNUMBER(VLOOKUP("1.1",A7:Q107,14,FALSE)),ROUND(VLOOKUP("1.1",A7:Q107,14,FALSE),4),0) - IF(ISNUMBER(VLOOKUP("1.1.4",A7:Q107,14,FALSE)),ROUND(VLOOKUP("1.1.4",A7:Q107,14,FALSE),4),0) - IF(ISNA(VLOOKUP("11.1.1",A7:Q107,14,FALSE)),0,ROUND(VLOOKUP("11.1.1",A7:Q107,14,FALSE),4)))</f>
        <v>7.7881846257157272E-2</v>
      </c>
      <c r="O68" s="16">
        <f>((IF(ISNUMBER(VLOOKUP("1.1",A7:Q107,15,FALSE)),ROUND(VLOOKUP("1.1",A7:Q107,15,FALSE),4),0) - IF(ISNUMBER(VLOOKUP("9.1.1",A7:Q107,15,FALSE)),ROUND(VLOOKUP("9.1.1",A7:Q107,15,FALSE),4),0) - IF(ISNA(VLOOKUP("11.1.1",A7:Q107,15,FALSE)),0,ROUND(VLOOKUP("11.1.1",A7:Q107,15,FALSE),4))) + IF(ISNUMBER(VLOOKUP("1.2.1",A7:Q107,15,FALSE)),ROUND(VLOOKUP("1.2.1",A7:Q107,15,FALSE),4),0) - (IF(ISNUMBER(VLOOKUP("2.1",A7:Q107,15,FALSE)),ROUND(VLOOKUP("2.1",A7:Q107,15,FALSE),4),0) - IF(ISNUMBER(VLOOKUP("9.3.1",A7:Q107,15,FALSE)),ROUND(VLOOKUP("9.3.1",A7:Q107,15,FALSE),4),0) - IF(ISNUMBER(VLOOKUP("10.7.2.1.1",A7:Q107,15,FALSE)),ROUND(VLOOKUP("10.7.2.1.1",A7:Q107,15,FALSE),4),0) - IF(ISNUMBER(VLOOKUP("2.1.3",A7:Q107,15,FALSE)),ROUND(VLOOKUP("2.1.3",A7:Q107,15,FALSE),4),0) - IF(ISNA(VLOOKUP("10.11",A7:Q107,15,FALSE)),0,ROUND(VLOOKUP("10.11",A7:Q107,15,FALSE),4)))) / (IF(ISNUMBER(VLOOKUP("1.1",A7:Q107,15,FALSE)),ROUND(VLOOKUP("1.1",A7:Q107,15,FALSE),4),0) - IF(ISNUMBER(VLOOKUP("1.1.4",A7:Q107,15,FALSE)),ROUND(VLOOKUP("1.1.4",A7:Q107,15,FALSE),4),0) - IF(ISNA(VLOOKUP("11.1.1",A7:Q107,15,FALSE)),0,ROUND(VLOOKUP("11.1.1",A7:Q107,15,FALSE),4)))</f>
        <v>7.6677436728145018E-2</v>
      </c>
      <c r="P68" s="16">
        <f>((IF(ISNUMBER(VLOOKUP("1.1",A7:Q107,16,FALSE)),ROUND(VLOOKUP("1.1",A7:Q107,16,FALSE),4),0) - IF(ISNUMBER(VLOOKUP("9.1.1",A7:Q107,16,FALSE)),ROUND(VLOOKUP("9.1.1",A7:Q107,16,FALSE),4),0) - IF(ISNA(VLOOKUP("11.1.1",A7:Q107,16,FALSE)),0,ROUND(VLOOKUP("11.1.1",A7:Q107,16,FALSE),4))) + IF(ISNUMBER(VLOOKUP("1.2.1",A7:Q107,16,FALSE)),ROUND(VLOOKUP("1.2.1",A7:Q107,16,FALSE),4),0) - (IF(ISNUMBER(VLOOKUP("2.1",A7:Q107,16,FALSE)),ROUND(VLOOKUP("2.1",A7:Q107,16,FALSE),4),0) - IF(ISNUMBER(VLOOKUP("9.3.1",A7:Q107,16,FALSE)),ROUND(VLOOKUP("9.3.1",A7:Q107,16,FALSE),4),0) - IF(ISNUMBER(VLOOKUP("10.7.2.1.1",A7:Q107,16,FALSE)),ROUND(VLOOKUP("10.7.2.1.1",A7:Q107,16,FALSE),4),0) - IF(ISNUMBER(VLOOKUP("2.1.3",A7:Q107,16,FALSE)),ROUND(VLOOKUP("2.1.3",A7:Q107,16,FALSE),4),0) - IF(ISNA(VLOOKUP("10.11",A7:Q107,16,FALSE)),0,ROUND(VLOOKUP("10.11",A7:Q107,16,FALSE),4)))) / (IF(ISNUMBER(VLOOKUP("1.1",A7:Q107,16,FALSE)),ROUND(VLOOKUP("1.1",A7:Q107,16,FALSE),4),0) - IF(ISNUMBER(VLOOKUP("1.1.4",A7:Q107,16,FALSE)),ROUND(VLOOKUP("1.1.4",A7:Q107,16,FALSE),4),0) - IF(ISNA(VLOOKUP("11.1.1",A7:Q107,16,FALSE)),0,ROUND(VLOOKUP("11.1.1",A7:Q107,16,FALSE),4)))</f>
        <v>7.6611216419951819E-2</v>
      </c>
      <c r="Q68" s="16">
        <f>((IF(ISNUMBER(VLOOKUP("1.1",A7:Q107,17,FALSE)),ROUND(VLOOKUP("1.1",A7:Q107,17,FALSE),4),0) - IF(ISNUMBER(VLOOKUP("9.1.1",A7:Q107,17,FALSE)),ROUND(VLOOKUP("9.1.1",A7:Q107,17,FALSE),4),0) - IF(ISNA(VLOOKUP("11.1.1",A7:Q107,17,FALSE)),0,ROUND(VLOOKUP("11.1.1",A7:Q107,17,FALSE),4))) + IF(ISNUMBER(VLOOKUP("1.2.1",A7:Q107,17,FALSE)),ROUND(VLOOKUP("1.2.1",A7:Q107,17,FALSE),4),0) - (IF(ISNUMBER(VLOOKUP("2.1",A7:Q107,17,FALSE)),ROUND(VLOOKUP("2.1",A7:Q107,17,FALSE),4),0) - IF(ISNUMBER(VLOOKUP("9.3.1",A7:Q107,17,FALSE)),ROUND(VLOOKUP("9.3.1",A7:Q107,17,FALSE),4),0) - IF(ISNUMBER(VLOOKUP("10.7.2.1.1",A7:Q107,17,FALSE)),ROUND(VLOOKUP("10.7.2.1.1",A7:Q107,17,FALSE),4),0) - IF(ISNUMBER(VLOOKUP("2.1.3",A7:Q107,17,FALSE)),ROUND(VLOOKUP("2.1.3",A7:Q107,17,FALSE),4),0) - IF(ISNA(VLOOKUP("10.11",A7:Q107,17,FALSE)),0,ROUND(VLOOKUP("10.11",A7:Q107,17,FALSE),4)))) / (IF(ISNUMBER(VLOOKUP("1.1",A7:Q107,17,FALSE)),ROUND(VLOOKUP("1.1",A7:Q107,17,FALSE),4),0) - IF(ISNUMBER(VLOOKUP("1.1.4",A7:Q107,17,FALSE)),ROUND(VLOOKUP("1.1.4",A7:Q107,17,FALSE),4),0) - IF(ISNA(VLOOKUP("11.1.1",A7:Q107,17,FALSE)),0,ROUND(VLOOKUP("11.1.1",A7:Q107,17,FALSE),4)))</f>
        <v>7.6478652425968241E-2</v>
      </c>
    </row>
    <row r="69" spans="1:17" ht="74.25" customHeight="1" x14ac:dyDescent="0.25">
      <c r="A69" s="13" t="s">
        <v>135</v>
      </c>
      <c r="B69" s="14" t="s">
        <v>136</v>
      </c>
      <c r="C69" s="15">
        <f t="shared" ref="C69:J70" si="0">0.15</f>
        <v>0.15</v>
      </c>
      <c r="D69" s="15">
        <f t="shared" si="0"/>
        <v>0.15</v>
      </c>
      <c r="E69" s="15">
        <f t="shared" si="0"/>
        <v>0.15</v>
      </c>
      <c r="F69" s="15">
        <f t="shared" si="0"/>
        <v>0.15</v>
      </c>
      <c r="G69" s="15">
        <f t="shared" si="0"/>
        <v>0.15</v>
      </c>
      <c r="H69" s="15">
        <f t="shared" si="0"/>
        <v>0.15</v>
      </c>
      <c r="I69" s="15">
        <f t="shared" si="0"/>
        <v>0.15</v>
      </c>
      <c r="J69" s="15">
        <f t="shared" si="0"/>
        <v>0.15</v>
      </c>
      <c r="K69" s="16">
        <f>(IF(ISNUMBER(VLOOKUP("8.2.x",A7:Q107,3,FALSE)),ROUND(VLOOKUP("8.2.x",A7:Q107,3,FALSE),4),0)+IF(ISNUMBER(VLOOKUP("8.2.x",A7:Q107,4,FALSE)),ROUND(VLOOKUP("8.2.x",A7:Q107,4,FALSE),4),0)+IF(ISNUMBER(VLOOKUP("8.2.x",A7:Q107,5,FALSE)),ROUND(VLOOKUP("8.2.x",A7:Q107,5,FALSE),4),0)+IF(ISNUMBER(VLOOKUP("8.2.x",A7:Q107,6,FALSE)),ROUND(VLOOKUP("8.2.x",A7:Q107,6,FALSE),4),0)+IF(ISNUMBER(VLOOKUP("8.2.x",A7:Q107,7,FALSE)),ROUND(VLOOKUP("8.2.x",A7:Q107,7,FALSE),4),0)+IF(ISNUMBER(VLOOKUP("8.2.x",A7:Q107,8,FALSE)),ROUND(VLOOKUP("8.2.x",A7:Q107,8,FALSE),4),0)+IF(ISNUMBER(VLOOKUP("8.2.x",A7:Q107,9,FALSE)),ROUND(VLOOKUP("8.2.x",A7:Q107,9,FALSE),4),0))/7</f>
        <v>9.8599999999999993E-2</v>
      </c>
      <c r="L69" s="16">
        <f>(IF(ISNUMBER(VLOOKUP("8.2.x",A7:Q107,4,FALSE)),ROUND(VLOOKUP("8.2.x",A7:Q107,4,FALSE),4),0)+IF(ISNUMBER(VLOOKUP("8.2.x",A7:Q107,5,FALSE)),ROUND(VLOOKUP("8.2.x",A7:Q107,5,FALSE),4),0)+IF(ISNUMBER(VLOOKUP("8.2.x",A7:Q107,6,FALSE)),ROUND(VLOOKUP("8.2.x",A7:Q107,6,FALSE),4),0)+IF(ISNUMBER(VLOOKUP("8.2.x",A7:Q107,7,FALSE)),ROUND(VLOOKUP("8.2.x",A7:Q107,7,FALSE),4),0)+IF(ISNUMBER(VLOOKUP("8.2.x",A7:Q107,8,FALSE)),ROUND(VLOOKUP("8.2.x",A7:Q107,8,FALSE),4),0)+IF(ISNUMBER(VLOOKUP("8.2.x",A7:Q107,9,FALSE)),ROUND(VLOOKUP("8.2.x",A7:Q107,9,FALSE),4),0)+IF(ISNUMBER(VLOOKUP("8.2",A7:Q107,11,FALSE)),ROUND(VLOOKUP("8.2",A7:Q107,11,FALSE),4),0))/7</f>
        <v>9.5071428571428571E-2</v>
      </c>
      <c r="M69" s="16">
        <f>(IF(ISNUMBER(VLOOKUP("8.2.x",A7:Q107,5,FALSE)),ROUND(VLOOKUP("8.2.x",A7:Q107,5,FALSE),4),0)+IF(ISNUMBER(VLOOKUP("8.2.x",A7:Q107,6,FALSE)),ROUND(VLOOKUP("8.2.x",A7:Q107,6,FALSE),4),0)+IF(ISNUMBER(VLOOKUP("8.2.x",A7:Q107,7,FALSE)),ROUND(VLOOKUP("8.2.x",A7:Q107,7,FALSE),4),0)+IF(ISNUMBER(VLOOKUP("8.2.x",A7:Q107,8,FALSE)),ROUND(VLOOKUP("8.2.x",A7:Q107,8,FALSE),4),0)+IF(ISNUMBER(VLOOKUP("8.2.x",A7:Q107,9,FALSE)),ROUND(VLOOKUP("8.2.x",A7:Q107,9,FALSE),4),0)+IF(ISNUMBER(VLOOKUP("8.2",A7:Q107,11,FALSE)),ROUND(VLOOKUP("8.2",A7:Q107,11,FALSE),4),0)+IF(ISNUMBER(VLOOKUP("8.2",A7:Q107,12,FALSE)),ROUND(VLOOKUP("8.2",A7:Q107,12,FALSE),4),0))/7</f>
        <v>8.8085714285714281E-2</v>
      </c>
      <c r="N69" s="16">
        <f>(IF(ISNUMBER(VLOOKUP("8.2.x",A7:Q107,6,FALSE)),ROUND(VLOOKUP("8.2.x",A7:Q107,6,FALSE),4),0)+IF(ISNUMBER(VLOOKUP("8.2.x",A7:Q107,7,FALSE)),ROUND(VLOOKUP("8.2.x",A7:Q107,7,FALSE),4),0)+IF(ISNUMBER(VLOOKUP("8.2.x",A7:Q107,8,FALSE)),ROUND(VLOOKUP("8.2.x",A7:Q107,8,FALSE),4),0)+IF(ISNUMBER(VLOOKUP("8.2.x",A7:Q107,9,FALSE)),ROUND(VLOOKUP("8.2.x",A7:Q107,9,FALSE),4),0)+IF(ISNUMBER(VLOOKUP("8.2",A7:Q107,11,FALSE)),ROUND(VLOOKUP("8.2",A7:Q107,11,FALSE),4),0)+IF(ISNUMBER(VLOOKUP("8.2",A7:Q107,12,FALSE)),ROUND(VLOOKUP("8.2",A7:Q107,12,FALSE),4),0)+IF(ISNUMBER(VLOOKUP("8.2",A7:Q107,13,FALSE)),ROUND(VLOOKUP("8.2",A7:Q107,13,FALSE),4),0))/7</f>
        <v>8.5314285714285704E-2</v>
      </c>
      <c r="O69" s="16">
        <f>(IF(ISNUMBER(VLOOKUP("8.2.x",A7:Q107,7,FALSE)),ROUND(VLOOKUP("8.2.x",A7:Q107,7,FALSE),4),0)+IF(ISNUMBER(VLOOKUP("8.2.x",A7:Q107,8,FALSE)),ROUND(VLOOKUP("8.2.x",A7:Q107,8,FALSE),4),0)+IF(ISNUMBER(VLOOKUP("8.2.x",A7:Q107,9,FALSE)),ROUND(VLOOKUP("8.2.x",A7:Q107,9,FALSE),4),0)+IF(ISNUMBER(VLOOKUP("8.2",A7:Q107,11,FALSE)),ROUND(VLOOKUP("8.2",A7:Q107,11,FALSE),4),0)+IF(ISNUMBER(VLOOKUP("8.2",A7:Q107,12,FALSE)),ROUND(VLOOKUP("8.2",A7:Q107,12,FALSE),4),0)+IF(ISNUMBER(VLOOKUP("8.2",A7:Q107,13,FALSE)),ROUND(VLOOKUP("8.2",A7:Q107,13,FALSE),4),0)+IF(ISNUMBER(VLOOKUP("8.2",A7:Q107,14,FALSE)),ROUND(VLOOKUP("8.2",A7:Q107,14,FALSE),4),0))/7</f>
        <v>8.030000000000001E-2</v>
      </c>
      <c r="P69" s="16">
        <f>(IF(ISNUMBER(VLOOKUP("8.2.x",A7:Q107,8,FALSE)),ROUND(VLOOKUP("8.2.x",A7:Q107,8,FALSE),4),0)+IF(ISNUMBER(VLOOKUP("8.2.x",A7:Q107,9,FALSE)),ROUND(VLOOKUP("8.2.x",A7:Q107,9,FALSE),4),0)+IF(ISNUMBER(VLOOKUP("8.2",A7:Q107,11,FALSE)),ROUND(VLOOKUP("8.2",A7:Q107,11,FALSE),4),0)+IF(ISNUMBER(VLOOKUP("8.2",A7:Q107,12,FALSE)),ROUND(VLOOKUP("8.2",A7:Q107,12,FALSE),4),0)+IF(ISNUMBER(VLOOKUP("8.2",A7:Q107,13,FALSE)),ROUND(VLOOKUP("8.2",A7:Q107,13,FALSE),4),0)+IF(ISNUMBER(VLOOKUP("8.2",A7:Q107,14,FALSE)),ROUND(VLOOKUP("8.2",A7:Q107,14,FALSE),4),0)+IF(ISNUMBER(VLOOKUP("8.2",A7:Q107,15,FALSE)),ROUND(VLOOKUP("8.2",A7:Q107,15,FALSE),4),0))/7</f>
        <v>8.5728571428571418E-2</v>
      </c>
      <c r="Q69" s="16">
        <f>(IF(ISNUMBER(VLOOKUP("8.2.x",A7:Q107,9,FALSE)),ROUND(VLOOKUP("8.2.x",A7:Q107,9,FALSE),4),0)+IF(ISNUMBER(VLOOKUP("8.2",A7:Q107,11,FALSE)),ROUND(VLOOKUP("8.2",A7:Q107,11,FALSE),4),0)+IF(ISNUMBER(VLOOKUP("8.2",A7:Q107,12,FALSE)),ROUND(VLOOKUP("8.2",A7:Q107,12,FALSE),4),0)+IF(ISNUMBER(VLOOKUP("8.2",A7:Q107,13,FALSE)),ROUND(VLOOKUP("8.2",A7:Q107,13,FALSE),4),0)+IF(ISNUMBER(VLOOKUP("8.2",A7:Q107,14,FALSE)),ROUND(VLOOKUP("8.2",A7:Q107,14,FALSE),4),0)+IF(ISNUMBER(VLOOKUP("8.2",A7:Q107,15,FALSE)),ROUND(VLOOKUP("8.2",A7:Q107,15,FALSE),4),0)+IF(ISNUMBER(VLOOKUP("8.2",A7:Q107,16,FALSE)),ROUND(VLOOKUP("8.2",A7:Q107,16,FALSE),4),0))/7</f>
        <v>7.6457142857142862E-2</v>
      </c>
    </row>
    <row r="70" spans="1:17" ht="79.5" customHeight="1" x14ac:dyDescent="0.25">
      <c r="A70" s="13" t="s">
        <v>137</v>
      </c>
      <c r="B70" s="14" t="s">
        <v>138</v>
      </c>
      <c r="C70" s="15">
        <f t="shared" si="0"/>
        <v>0.15</v>
      </c>
      <c r="D70" s="15">
        <f t="shared" si="0"/>
        <v>0.15</v>
      </c>
      <c r="E70" s="15">
        <f t="shared" si="0"/>
        <v>0.15</v>
      </c>
      <c r="F70" s="15">
        <f t="shared" si="0"/>
        <v>0.15</v>
      </c>
      <c r="G70" s="15">
        <f t="shared" si="0"/>
        <v>0.15</v>
      </c>
      <c r="H70" s="15">
        <f t="shared" si="0"/>
        <v>0.15</v>
      </c>
      <c r="I70" s="15">
        <f t="shared" si="0"/>
        <v>0.15</v>
      </c>
      <c r="J70" s="15">
        <f t="shared" si="0"/>
        <v>0.15</v>
      </c>
      <c r="K70" s="16">
        <f>(IF(ISNUMBER(VLOOKUP("8.2.x",A7:Q107,3,FALSE)),ROUND(VLOOKUP("8.2.x",A7:Q107,3,FALSE),4),0)+IF(ISNUMBER(VLOOKUP("8.2.x",A7:Q107,4,FALSE)),ROUND(VLOOKUP("8.2.x",A7:Q107,4,FALSE),4),0)+IF(ISNUMBER(VLOOKUP("8.2.x",A7:Q107,5,FALSE)),ROUND(VLOOKUP("8.2.x",A7:Q107,5,FALSE),4),0)+IF(ISNUMBER(VLOOKUP("8.2.x",A7:Q107,6,FALSE)),ROUND(VLOOKUP("8.2.x",A7:Q107,6,FALSE),4),0)+IF(ISNUMBER(VLOOKUP("8.2.x",A7:Q107,7,FALSE)),ROUND(VLOOKUP("8.2.x",A7:Q107,7,FALSE),4),0)+IF(ISNUMBER(VLOOKUP("8.2.x",A7:Q107,8,FALSE)),ROUND(VLOOKUP("8.2.x",A7:Q107,8,FALSE),4),0)+IF(ISNUMBER(VLOOKUP("8.2.x",A7:Q107,10,FALSE)),ROUND(VLOOKUP("8.2.x",A7:Q107,10,FALSE),4),0))/7</f>
        <v>9.8799999999999985E-2</v>
      </c>
      <c r="L70" s="16">
        <f>(IF(ISNUMBER(VLOOKUP("8.2.x",A7:Q107,4,FALSE)),ROUND(VLOOKUP("8.2.x",A7:Q107,4,FALSE),4),0)+IF(ISNUMBER(VLOOKUP("8.2.x",A7:Q107,5,FALSE)),ROUND(VLOOKUP("8.2.x",A7:Q107,5,FALSE),4),0)+IF(ISNUMBER(VLOOKUP("8.2.x",A7:Q107,6,FALSE)),ROUND(VLOOKUP("8.2.x",A7:Q107,6,FALSE),4),0)+IF(ISNUMBER(VLOOKUP("8.2.x",A7:Q107,7,FALSE)),ROUND(VLOOKUP("8.2.x",A7:Q107,7,FALSE),4),0)+IF(ISNUMBER(VLOOKUP("8.2.x",A7:Q107,8,FALSE)),ROUND(VLOOKUP("8.2.x",A7:Q107,8,FALSE),4),0)+IF(ISNUMBER(VLOOKUP("8.2.x",A7:Q107,10,FALSE)),ROUND(VLOOKUP("8.2.x",A7:Q107,10,FALSE),4),0)+IF(ISNUMBER(VLOOKUP("8.2",A7:Q107,11,FALSE)),ROUND(VLOOKUP("8.2",A7:Q107,11,FALSE),4),0))/7</f>
        <v>9.5271428571428562E-2</v>
      </c>
      <c r="M70" s="16">
        <f>(IF(ISNUMBER(VLOOKUP("8.2.x",A7:Q107,5,FALSE)),ROUND(VLOOKUP("8.2.x",A7:Q107,5,FALSE),4),0)+IF(ISNUMBER(VLOOKUP("8.2.x",A7:Q107,6,FALSE)),ROUND(VLOOKUP("8.2.x",A7:Q107,6,FALSE),4),0)+IF(ISNUMBER(VLOOKUP("8.2.x",A7:Q107,7,FALSE)),ROUND(VLOOKUP("8.2.x",A7:Q107,7,FALSE),4),0)+IF(ISNUMBER(VLOOKUP("8.2.x",A7:Q107,8,FALSE)),ROUND(VLOOKUP("8.2.x",A7:Q107,8,FALSE),4),0)+IF(ISNUMBER(VLOOKUP("8.2.x",A7:Q107,10,FALSE)),ROUND(VLOOKUP("8.2.x",A7:Q107,10,FALSE),4),0)+IF(ISNUMBER(VLOOKUP("8.2",A7:Q107,11,FALSE)),ROUND(VLOOKUP("8.2",A7:Q107,11,FALSE),4),0)+IF(ISNUMBER(VLOOKUP("8.2",A7:Q107,12,FALSE)),ROUND(VLOOKUP("8.2",A7:Q107,12,FALSE),4),0))/7</f>
        <v>8.8285714285714273E-2</v>
      </c>
      <c r="N70" s="16">
        <f>(IF(ISNUMBER(VLOOKUP("8.2.x",A7:Q107,6,FALSE)),ROUND(VLOOKUP("8.2.x",A7:Q107,6,FALSE),4),0)+IF(ISNUMBER(VLOOKUP("8.2.x",A7:Q107,7,FALSE)),ROUND(VLOOKUP("8.2.x",A7:Q107,7,FALSE),4),0)+IF(ISNUMBER(VLOOKUP("8.2.x",A7:Q107,8,FALSE)),ROUND(VLOOKUP("8.2.x",A7:Q107,8,FALSE),4),0)+IF(ISNUMBER(VLOOKUP("8.2.x",A7:Q107,10,FALSE)),ROUND(VLOOKUP("8.2.x",A7:Q107,10,FALSE),4),0)+IF(ISNUMBER(VLOOKUP("8.2",A7:Q107,11,FALSE)),ROUND(VLOOKUP("8.2",A7:Q107,11,FALSE),4),0)+IF(ISNUMBER(VLOOKUP("8.2",A7:Q107,12,FALSE)),ROUND(VLOOKUP("8.2",A7:Q107,12,FALSE),4),0)+IF(ISNUMBER(VLOOKUP("8.2",A7:Q107,13,FALSE)),ROUND(VLOOKUP("8.2",A7:Q107,13,FALSE),4),0))/7</f>
        <v>8.5514285714285723E-2</v>
      </c>
      <c r="O70" s="16">
        <f>(IF(ISNUMBER(VLOOKUP("8.2.x",A7:Q107,7,FALSE)),ROUND(VLOOKUP("8.2.x",A7:Q107,7,FALSE),4),0)+IF(ISNUMBER(VLOOKUP("8.2.x",A7:Q107,8,FALSE)),ROUND(VLOOKUP("8.2.x",A7:Q107,8,FALSE),4),0)+IF(ISNUMBER(VLOOKUP("8.2.x",A7:Q107,10,FALSE)),ROUND(VLOOKUP("8.2.x",A7:Q107,10,FALSE),4),0)+IF(ISNUMBER(VLOOKUP("8.2",A7:Q107,11,FALSE)),ROUND(VLOOKUP("8.2",A7:Q107,11,FALSE),4),0)+IF(ISNUMBER(VLOOKUP("8.2",A7:Q107,12,FALSE)),ROUND(VLOOKUP("8.2",A7:Q107,12,FALSE),4),0)+IF(ISNUMBER(VLOOKUP("8.2",A7:Q107,13,FALSE)),ROUND(VLOOKUP("8.2",A7:Q107,13,FALSE),4),0)+IF(ISNUMBER(VLOOKUP("8.2",A7:Q107,14,FALSE)),ROUND(VLOOKUP("8.2",A7:Q107,14,FALSE),4),0))/7</f>
        <v>8.0500000000000002E-2</v>
      </c>
      <c r="P70" s="16">
        <f>(IF(ISNUMBER(VLOOKUP("8.2.x",A7:Q107,8,FALSE)),ROUND(VLOOKUP("8.2.x",A7:Q107,8,FALSE),4),0)+IF(ISNUMBER(VLOOKUP("8.2.x",A7:Q107,10,FALSE)),ROUND(VLOOKUP("8.2.x",A7:Q107,10,FALSE),4),0)+IF(ISNUMBER(VLOOKUP("8.2",A7:Q107,11,FALSE)),ROUND(VLOOKUP("8.2",A7:Q107,11,FALSE),4),0)+IF(ISNUMBER(VLOOKUP("8.2",A7:Q107,12,FALSE)),ROUND(VLOOKUP("8.2",A7:Q107,12,FALSE),4),0)+IF(ISNUMBER(VLOOKUP("8.2",A7:Q107,13,FALSE)),ROUND(VLOOKUP("8.2",A7:Q107,13,FALSE),4),0)+IF(ISNUMBER(VLOOKUP("8.2",A7:Q107,14,FALSE)),ROUND(VLOOKUP("8.2",A7:Q107,14,FALSE),4),0)+IF(ISNUMBER(VLOOKUP("8.2",A7:Q107,15,FALSE)),ROUND(VLOOKUP("8.2",A7:Q107,15,FALSE),4),0))/7</f>
        <v>8.5928571428571437E-2</v>
      </c>
      <c r="Q70" s="16">
        <f>(IF(ISNUMBER(VLOOKUP("8.2.x",A7:Q107,10,FALSE)),ROUND(VLOOKUP("8.2.x",A7:Q107,10,FALSE),4),0)+IF(ISNUMBER(VLOOKUP("8.2",A7:Q107,11,FALSE)),ROUND(VLOOKUP("8.2",A7:Q107,11,FALSE),4),0)+IF(ISNUMBER(VLOOKUP("8.2",A7:Q107,12,FALSE)),ROUND(VLOOKUP("8.2",A7:Q107,12,FALSE),4),0)+IF(ISNUMBER(VLOOKUP("8.2",A7:Q107,13,FALSE)),ROUND(VLOOKUP("8.2",A7:Q107,13,FALSE),4),0)+IF(ISNUMBER(VLOOKUP("8.2",A7:Q107,14,FALSE)),ROUND(VLOOKUP("8.2",A7:Q107,14,FALSE),4),0)+IF(ISNUMBER(VLOOKUP("8.2",A7:Q107,15,FALSE)),ROUND(VLOOKUP("8.2",A7:Q107,15,FALSE),4),0)+IF(ISNUMBER(VLOOKUP("8.2",A7:Q107,16,FALSE)),ROUND(VLOOKUP("8.2",A7:Q107,16,FALSE),4),0))/7</f>
        <v>7.6657142857142854E-2</v>
      </c>
    </row>
    <row r="71" spans="1:17" ht="87" customHeight="1" x14ac:dyDescent="0.25">
      <c r="A71" s="1" t="s">
        <v>139</v>
      </c>
      <c r="B71" s="2" t="s">
        <v>140</v>
      </c>
      <c r="C71" s="17" t="str">
        <f>IF(IF(ISNUMBER(VLOOKUP("8.1",A7:Q107,3,FALSE)),ROUND(VLOOKUP("8.1",A7:Q107,3,FALSE),4),0) - IF(ISNUMBER(VLOOKUP("8.3",A7:Q107,3,FALSE)),ROUND(VLOOKUP("8.3",A7:Q107,3,FALSE),4),0) &lt;= 0, "Tak", "Nie")</f>
        <v>Tak</v>
      </c>
      <c r="D71" s="17" t="str">
        <f>IF(IF(ISNUMBER(VLOOKUP("8.1",A7:Q107,4,FALSE)),ROUND(VLOOKUP("8.1",A7:Q107,4,FALSE),4),0) - IF(ISNUMBER(VLOOKUP("8.3",A7:Q107,4,FALSE)),ROUND(VLOOKUP("8.3",A7:Q107,4,FALSE),4),0) &lt;= 0, "Tak", "Nie")</f>
        <v>Tak</v>
      </c>
      <c r="E71" s="17" t="str">
        <f>IF(IF(ISNUMBER(VLOOKUP("8.1",A7:Q107,5,FALSE)),ROUND(VLOOKUP("8.1",A7:Q107,5,FALSE),4),0) - IF(ISNUMBER(VLOOKUP("8.3",A7:Q107,5,FALSE)),ROUND(VLOOKUP("8.3",A7:Q107,5,FALSE),4),0) &lt;= 0, "Tak", "Nie")</f>
        <v>Tak</v>
      </c>
      <c r="F71" s="17" t="str">
        <f>IF(IF(ISNUMBER(VLOOKUP("8.1",A7:Q107,6,FALSE)),ROUND(VLOOKUP("8.1",A7:Q107,6,FALSE),4),0) - IF(ISNUMBER(VLOOKUP("8.3",A7:Q107,6,FALSE)),ROUND(VLOOKUP("8.3",A7:Q107,6,FALSE),4),0) &lt;= 0, "Tak", "Nie")</f>
        <v>Tak</v>
      </c>
      <c r="G71" s="17" t="str">
        <f>IF(IF(ISNUMBER(VLOOKUP("8.1",A7:Q107,7,FALSE)),ROUND(VLOOKUP("8.1",A7:Q107,7,FALSE),4),0) - IF(ISNUMBER(VLOOKUP("8.3",A7:Q107,7,FALSE)),ROUND(VLOOKUP("8.3",A7:Q107,7,FALSE),4),0) &lt;= 0, "Tak", "Nie")</f>
        <v>Tak</v>
      </c>
      <c r="H71" s="17" t="str">
        <f>IF(IF(ISNUMBER(VLOOKUP("8.1",A7:Q107,8,FALSE)),ROUND(VLOOKUP("8.1",A7:Q107,8,FALSE),4),0) - IF(ISNUMBER(VLOOKUP("8.3",A7:Q107,8,FALSE)),ROUND(VLOOKUP("8.3",A7:Q107,8,FALSE),4),0) &lt;= 0, "Tak", "Nie")</f>
        <v>Tak</v>
      </c>
      <c r="I71" s="17" t="str">
        <f>IF(IF(ISNUMBER(VLOOKUP("8.1",A7:Q107,9,FALSE)),ROUND(VLOOKUP("8.1",A7:Q107,9,FALSE),4),0) - IF(ISNUMBER(VLOOKUP("8.3",A7:Q107,9,FALSE)),ROUND(VLOOKUP("8.3",A7:Q107,9,FALSE),4),0) &lt;= 0, "Tak", "Nie")</f>
        <v>Tak</v>
      </c>
      <c r="J71" s="17" t="str">
        <f>IF(IF(ISNUMBER(VLOOKUP("8.1",A7:Q107,10,FALSE)),ROUND(VLOOKUP("8.1",A7:Q107,10,FALSE),4),0) - IF(ISNUMBER(VLOOKUP("8.3",A7:Q107,10,FALSE)),ROUND(VLOOKUP("8.3",A7:Q107,10,FALSE),4),0) &lt;= 0, "Tak", "Nie")</f>
        <v>Tak</v>
      </c>
      <c r="K71" s="17" t="str">
        <f>IF(IF(ISNUMBER(VLOOKUP("8.1",A7:Q107,11,FALSE)),ROUND(VLOOKUP("8.1",A7:Q107,11,FALSE),4),0) - IF(ISNUMBER(VLOOKUP("8.3",A7:Q107,11,FALSE)),ROUND(VLOOKUP("8.3",A7:Q107,11,FALSE),4),0) &lt;= 0, "Tak", "Nie")</f>
        <v>Tak</v>
      </c>
      <c r="L71" s="17" t="str">
        <f>IF(IF(ISNUMBER(VLOOKUP("8.1",A7:Q107,12,FALSE)),ROUND(VLOOKUP("8.1",A7:Q107,12,FALSE),4),0) - IF(ISNUMBER(VLOOKUP("8.3",A7:Q107,12,FALSE)),ROUND(VLOOKUP("8.3",A7:Q107,12,FALSE),4),0) &lt;= 0, "Tak", "Nie")</f>
        <v>Tak</v>
      </c>
      <c r="M71" s="17" t="str">
        <f>IF(IF(ISNUMBER(VLOOKUP("8.1",A7:Q107,13,FALSE)),ROUND(VLOOKUP("8.1",A7:Q107,13,FALSE),4),0) - IF(ISNUMBER(VLOOKUP("8.3",A7:Q107,13,FALSE)),ROUND(VLOOKUP("8.3",A7:Q107,13,FALSE),4),0) &lt;= 0, "Tak", "Nie")</f>
        <v>Tak</v>
      </c>
      <c r="N71" s="17" t="str">
        <f>IF(IF(ISNUMBER(VLOOKUP("8.1",A7:Q107,14,FALSE)),ROUND(VLOOKUP("8.1",A7:Q107,14,FALSE),4),0) - IF(ISNUMBER(VLOOKUP("8.3",A7:Q107,14,FALSE)),ROUND(VLOOKUP("8.3",A7:Q107,14,FALSE),4),0) &lt;= 0, "Tak", "Nie")</f>
        <v>Tak</v>
      </c>
      <c r="O71" s="17" t="str">
        <f>IF(IF(ISNUMBER(VLOOKUP("8.1",A7:Q107,15,FALSE)),ROUND(VLOOKUP("8.1",A7:Q107,15,FALSE),4),0) - IF(ISNUMBER(VLOOKUP("8.3",A7:Q107,15,FALSE)),ROUND(VLOOKUP("8.3",A7:Q107,15,FALSE),4),0) &lt;= 0, "Tak", "Nie")</f>
        <v>Tak</v>
      </c>
      <c r="P71" s="17" t="str">
        <f>IF(IF(ISNUMBER(VLOOKUP("8.1",A7:Q107,16,FALSE)),ROUND(VLOOKUP("8.1",A7:Q107,16,FALSE),4),0) - IF(ISNUMBER(VLOOKUP("8.3",A7:Q107,16,FALSE)),ROUND(VLOOKUP("8.3",A7:Q107,16,FALSE),4),0) &lt;= 0, "Tak", "Nie")</f>
        <v>Tak</v>
      </c>
      <c r="Q71" s="17" t="str">
        <f>IF(IF(ISNUMBER(VLOOKUP("8.1",A7:Q107,17,FALSE)),ROUND(VLOOKUP("8.1",A7:Q107,17,FALSE),4),0) - IF(ISNUMBER(VLOOKUP("8.3",A7:Q107,17,FALSE)),ROUND(VLOOKUP("8.3",A7:Q107,17,FALSE),4),0) &lt;= 0, "Tak", "Nie")</f>
        <v>Tak</v>
      </c>
    </row>
    <row r="72" spans="1:17" ht="75.75" customHeight="1" x14ac:dyDescent="0.25">
      <c r="A72" s="5" t="s">
        <v>141</v>
      </c>
      <c r="B72" s="6" t="s">
        <v>142</v>
      </c>
      <c r="C72" s="18" t="str">
        <f>IF(IF(ISNUMBER(VLOOKUP("8.1",A7:Q107,3,FALSE)),ROUND(VLOOKUP("8.1",A7:Q107,3,FALSE),4),0) - IF(ISNUMBER(VLOOKUP("8.3.1",A7:Q107,3,FALSE)),ROUND(VLOOKUP("8.3.1",A7:Q107,3,FALSE),4),0) &lt;= 0, "Tak", "Nie")</f>
        <v>Tak</v>
      </c>
      <c r="D72" s="18" t="str">
        <f>IF(IF(ISNUMBER(VLOOKUP("8.1",A7:Q107,4,FALSE)),ROUND(VLOOKUP("8.1",A7:Q107,4,FALSE),4),0) - IF(ISNUMBER(VLOOKUP("8.3.1",A7:Q107,4,FALSE)),ROUND(VLOOKUP("8.3.1",A7:Q107,4,FALSE),4),0) &lt;= 0, "Tak", "Nie")</f>
        <v>Tak</v>
      </c>
      <c r="E72" s="18" t="str">
        <f>IF(IF(ISNUMBER(VLOOKUP("8.1",A7:Q107,5,FALSE)),ROUND(VLOOKUP("8.1",A7:Q107,5,FALSE),4),0) - IF(ISNUMBER(VLOOKUP("8.3.1",A7:Q107,5,FALSE)),ROUND(VLOOKUP("8.3.1",A7:Q107,5,FALSE),4),0) &lt;= 0, "Tak", "Nie")</f>
        <v>Tak</v>
      </c>
      <c r="F72" s="18" t="str">
        <f>IF(IF(ISNUMBER(VLOOKUP("8.1",A7:Q107,6,FALSE)),ROUND(VLOOKUP("8.1",A7:Q107,6,FALSE),4),0) - IF(ISNUMBER(VLOOKUP("8.3.1",A7:Q107,6,FALSE)),ROUND(VLOOKUP("8.3.1",A7:Q107,6,FALSE),4),0) &lt;= 0, "Tak", "Nie")</f>
        <v>Tak</v>
      </c>
      <c r="G72" s="18" t="str">
        <f>IF(IF(ISNUMBER(VLOOKUP("8.1",A7:Q107,7,FALSE)),ROUND(VLOOKUP("8.1",A7:Q107,7,FALSE),4),0) - IF(ISNUMBER(VLOOKUP("8.3.1",A7:Q107,7,FALSE)),ROUND(VLOOKUP("8.3.1",A7:Q107,7,FALSE),4),0) &lt;= 0, "Tak", "Nie")</f>
        <v>Tak</v>
      </c>
      <c r="H72" s="18" t="str">
        <f>IF(IF(ISNUMBER(VLOOKUP("8.1",A7:Q107,8,FALSE)),ROUND(VLOOKUP("8.1",A7:Q107,8,FALSE),4),0) - IF(ISNUMBER(VLOOKUP("8.3.1",A7:Q107,8,FALSE)),ROUND(VLOOKUP("8.3.1",A7:Q107,8,FALSE),4),0) &lt;= 0, "Tak", "Nie")</f>
        <v>Tak</v>
      </c>
      <c r="I72" s="18" t="str">
        <f>IF(IF(ISNUMBER(VLOOKUP("8.1",A7:Q107,9,FALSE)),ROUND(VLOOKUP("8.1",A7:Q107,9,FALSE),4),0) - IF(ISNUMBER(VLOOKUP("8.3.1",A7:Q107,9,FALSE)),ROUND(VLOOKUP("8.3.1",A7:Q107,9,FALSE),4),0) &lt;= 0, "Tak", "Nie")</f>
        <v>Tak</v>
      </c>
      <c r="J72" s="18" t="str">
        <f>IF(IF(ISNUMBER(VLOOKUP("8.1",A7:Q107,10,FALSE)),ROUND(VLOOKUP("8.1",A7:Q107,10,FALSE),4),0) - IF(ISNUMBER(VLOOKUP("8.3.1",A7:Q107,10,FALSE)),ROUND(VLOOKUP("8.3.1",A7:Q107,10,FALSE),4),0) &lt;= 0, "Tak", "Nie")</f>
        <v>Tak</v>
      </c>
      <c r="K72" s="18" t="str">
        <f>IF(IF(ISNUMBER(VLOOKUP("8.1",A7:Q107,11,FALSE)),ROUND(VLOOKUP("8.1",A7:Q107,11,FALSE),4),0) - IF(ISNUMBER(VLOOKUP("8.3.1",A7:Q107,11,FALSE)),ROUND(VLOOKUP("8.3.1",A7:Q107,11,FALSE),4),0) &lt;= 0, "Tak", "Nie")</f>
        <v>Tak</v>
      </c>
      <c r="L72" s="18" t="str">
        <f>IF(IF(ISNUMBER(VLOOKUP("8.1",A7:Q107,12,FALSE)),ROUND(VLOOKUP("8.1",A7:Q107,12,FALSE),4),0) - IF(ISNUMBER(VLOOKUP("8.3.1",A7:Q107,12,FALSE)),ROUND(VLOOKUP("8.3.1",A7:Q107,12,FALSE),4),0) &lt;= 0, "Tak", "Nie")</f>
        <v>Tak</v>
      </c>
      <c r="M72" s="18" t="str">
        <f>IF(IF(ISNUMBER(VLOOKUP("8.1",A7:Q107,13,FALSE)),ROUND(VLOOKUP("8.1",A7:Q107,13,FALSE),4),0) - IF(ISNUMBER(VLOOKUP("8.3.1",A7:Q107,13,FALSE)),ROUND(VLOOKUP("8.3.1",A7:Q107,13,FALSE),4),0) &lt;= 0, "Tak", "Nie")</f>
        <v>Tak</v>
      </c>
      <c r="N72" s="18" t="str">
        <f>IF(IF(ISNUMBER(VLOOKUP("8.1",A7:Q107,14,FALSE)),ROUND(VLOOKUP("8.1",A7:Q107,14,FALSE),4),0) - IF(ISNUMBER(VLOOKUP("8.3.1",A7:Q107,14,FALSE)),ROUND(VLOOKUP("8.3.1",A7:Q107,14,FALSE),4),0) &lt;= 0, "Tak", "Nie")</f>
        <v>Tak</v>
      </c>
      <c r="O72" s="18" t="str">
        <f>IF(IF(ISNUMBER(VLOOKUP("8.1",A7:Q107,15,FALSE)),ROUND(VLOOKUP("8.1",A7:Q107,15,FALSE),4),0) - IF(ISNUMBER(VLOOKUP("8.3.1",A7:Q107,15,FALSE)),ROUND(VLOOKUP("8.3.1",A7:Q107,15,FALSE),4),0) &lt;= 0, "Tak", "Nie")</f>
        <v>Tak</v>
      </c>
      <c r="P72" s="18" t="str">
        <f>IF(IF(ISNUMBER(VLOOKUP("8.1",A7:Q107,16,FALSE)),ROUND(VLOOKUP("8.1",A7:Q107,16,FALSE),4),0) - IF(ISNUMBER(VLOOKUP("8.3.1",A7:Q107,16,FALSE)),ROUND(VLOOKUP("8.3.1",A7:Q107,16,FALSE),4),0) &lt;= 0, "Tak", "Nie")</f>
        <v>Tak</v>
      </c>
      <c r="Q72" s="18" t="str">
        <f>IF(IF(ISNUMBER(VLOOKUP("8.1",A7:Q107,17,FALSE)),ROUND(VLOOKUP("8.1",A7:Q107,17,FALSE),4),0) - IF(ISNUMBER(VLOOKUP("8.3.1",A7:Q107,17,FALSE)),ROUND(VLOOKUP("8.3.1",A7:Q107,17,FALSE),4),0) &lt;= 0, "Tak", "Nie")</f>
        <v>Tak</v>
      </c>
    </row>
    <row r="73" spans="1:17" ht="62.25" customHeight="1" x14ac:dyDescent="0.25">
      <c r="A73" s="13" t="s">
        <v>143</v>
      </c>
      <c r="B73" s="14" t="s">
        <v>144</v>
      </c>
      <c r="C73" s="15">
        <f>IF(ISNUMBER(VLOOKUP("6",A7:Q107,3,FALSE)),ROUND(VLOOKUP("6",A7:Q107,3,FALSE),4),0) / (IF(ISNUMBER(VLOOKUP("1",A7:Q107,3,FALSE)),ROUND(VLOOKUP("1",A7:Q107,3,FALSE),4),0) - IF(ISNUMBER(VLOOKUP("1.1.4",A7:Q107,3,FALSE)),ROUND(VLOOKUP("1.1.4",A7:Q107,3,FALSE),4),0) - IF(ISNUMBER(VLOOKUP("1.2.2",A7:Q107,3,FALSE)),ROUND(VLOOKUP("1.2.2",A7:Q107,3,FALSE),4),0) + (IF(ISNUMBER(VLOOKUP("4.2",A7:Q107,3,FALSE)),ROUND(VLOOKUP("4.2",A7:Q107,3,FALSE),4),0) - IF(ISNUMBER(VLOOKUP("4.2.1",A7:Q107,3,FALSE)),ROUND(VLOOKUP("4.2.1",A7:Q107,3,FALSE),4),0)) + (IF(ISNUMBER(VLOOKUP("4.3",A7:Q107,3,FALSE)),ROUND(VLOOKUP("4.3",A7:Q107,3,FALSE),4),0) - IF(ISNUMBER(VLOOKUP("4.3.1",A7:Q107,3,FALSE)),ROUND(VLOOKUP("4.3.1",A7:Q107,3,FALSE),4),0)) + (IF(ISNUMBER(VLOOKUP("4.4",A7:Q107,3,FALSE)),ROUND(VLOOKUP("4.4",A7:Q107,3,FALSE),4),0) - IF(ISNUMBER(VLOOKUP("4.4.1",A7:Q107,3,FALSE)),ROUND(VLOOKUP("4.4.1",A7:Q107,3,FALSE),4),0)))</f>
        <v>0.14709816771325737</v>
      </c>
      <c r="D73" s="15">
        <f>IF(ISNUMBER(VLOOKUP("6",A7:Q107,4,FALSE)),ROUND(VLOOKUP("6",A7:Q107,4,FALSE),4),0) / (IF(ISNUMBER(VLOOKUP("1",A7:Q107,4,FALSE)),ROUND(VLOOKUP("1",A7:Q107,4,FALSE),4),0) - IF(ISNUMBER(VLOOKUP("1.1.4",A7:Q107,4,FALSE)),ROUND(VLOOKUP("1.1.4",A7:Q107,4,FALSE),4),0) - IF(ISNUMBER(VLOOKUP("1.2.2",A7:Q107,4,FALSE)),ROUND(VLOOKUP("1.2.2",A7:Q107,4,FALSE),4),0) + (IF(ISNUMBER(VLOOKUP("4.2",A7:Q107,4,FALSE)),ROUND(VLOOKUP("4.2",A7:Q107,4,FALSE),4),0) - IF(ISNUMBER(VLOOKUP("4.2.1",A7:Q107,4,FALSE)),ROUND(VLOOKUP("4.2.1",A7:Q107,4,FALSE),4),0)) + (IF(ISNUMBER(VLOOKUP("4.3",A7:Q107,4,FALSE)),ROUND(VLOOKUP("4.3",A7:Q107,4,FALSE),4),0) - IF(ISNUMBER(VLOOKUP("4.3.1",A7:Q107,4,FALSE)),ROUND(VLOOKUP("4.3.1",A7:Q107,4,FALSE),4),0)) + (IF(ISNUMBER(VLOOKUP("4.4",A7:Q107,4,FALSE)),ROUND(VLOOKUP("4.4",A7:Q107,4,FALSE),4),0) - IF(ISNUMBER(VLOOKUP("4.4.1",A7:Q107,4,FALSE)),ROUND(VLOOKUP("4.4.1",A7:Q107,4,FALSE),4),0)))</f>
        <v>0.10074455214910943</v>
      </c>
      <c r="E73" s="15">
        <f>IF(ISNUMBER(VLOOKUP("6",A7:Q107,5,FALSE)),ROUND(VLOOKUP("6",A7:Q107,5,FALSE),4),0) / (IF(ISNUMBER(VLOOKUP("1",A7:Q107,5,FALSE)),ROUND(VLOOKUP("1",A7:Q107,5,FALSE),4),0) - IF(ISNUMBER(VLOOKUP("1.1.4",A7:Q107,5,FALSE)),ROUND(VLOOKUP("1.1.4",A7:Q107,5,FALSE),4),0) - IF(ISNUMBER(VLOOKUP("1.2.2",A7:Q107,5,FALSE)),ROUND(VLOOKUP("1.2.2",A7:Q107,5,FALSE),4),0) + (IF(ISNUMBER(VLOOKUP("4.2",A7:Q107,5,FALSE)),ROUND(VLOOKUP("4.2",A7:Q107,5,FALSE),4),0) - IF(ISNUMBER(VLOOKUP("4.2.1",A7:Q107,5,FALSE)),ROUND(VLOOKUP("4.2.1",A7:Q107,5,FALSE),4),0)) + (IF(ISNUMBER(VLOOKUP("4.3",A7:Q107,5,FALSE)),ROUND(VLOOKUP("4.3",A7:Q107,5,FALSE),4),0) - IF(ISNUMBER(VLOOKUP("4.3.1",A7:Q107,5,FALSE)),ROUND(VLOOKUP("4.3.1",A7:Q107,5,FALSE),4),0)) + (IF(ISNUMBER(VLOOKUP("4.4",A7:Q107,5,FALSE)),ROUND(VLOOKUP("4.4",A7:Q107,5,FALSE),4),0) - IF(ISNUMBER(VLOOKUP("4.4.1",A7:Q107,5,FALSE)),ROUND(VLOOKUP("4.4.1",A7:Q107,5,FALSE),4),0)))</f>
        <v>7.1103494029092371E-2</v>
      </c>
      <c r="F73" s="15">
        <f>IF(ISNUMBER(VLOOKUP("6",A7:Q107,6,FALSE)),ROUND(VLOOKUP("6",A7:Q107,6,FALSE),4),0) / (IF(ISNUMBER(VLOOKUP("1",A7:Q107,6,FALSE)),ROUND(VLOOKUP("1",A7:Q107,6,FALSE),4),0) - IF(ISNUMBER(VLOOKUP("1.1.4",A7:Q107,6,FALSE)),ROUND(VLOOKUP("1.1.4",A7:Q107,6,FALSE),4),0) - IF(ISNUMBER(VLOOKUP("1.2.2",A7:Q107,6,FALSE)),ROUND(VLOOKUP("1.2.2",A7:Q107,6,FALSE),4),0) + (IF(ISNUMBER(VLOOKUP("4.2",A7:Q107,6,FALSE)),ROUND(VLOOKUP("4.2",A7:Q107,6,FALSE),4),0) - IF(ISNUMBER(VLOOKUP("4.2.1",A7:Q107,6,FALSE)),ROUND(VLOOKUP("4.2.1",A7:Q107,6,FALSE),4),0)) + (IF(ISNUMBER(VLOOKUP("4.3",A7:Q107,6,FALSE)),ROUND(VLOOKUP("4.3",A7:Q107,6,FALSE),4),0) - IF(ISNUMBER(VLOOKUP("4.3.1",A7:Q107,6,FALSE)),ROUND(VLOOKUP("4.3.1",A7:Q107,6,FALSE),4),0)) + (IF(ISNUMBER(VLOOKUP("4.4",A7:Q107,6,FALSE)),ROUND(VLOOKUP("4.4",A7:Q107,6,FALSE),4),0) - IF(ISNUMBER(VLOOKUP("4.4.1",A7:Q107,6,FALSE)),ROUND(VLOOKUP("4.4.1",A7:Q107,6,FALSE),4),0)))</f>
        <v>7.5341742207419932E-2</v>
      </c>
      <c r="G73" s="15">
        <f>IF(ISNUMBER(VLOOKUP("6",A7:Q107,7,FALSE)),ROUND(VLOOKUP("6",A7:Q107,7,FALSE),4),0) / (IF(ISNUMBER(VLOOKUP("1",A7:Q107,7,FALSE)),ROUND(VLOOKUP("1",A7:Q107,7,FALSE),4),0) - IF(ISNUMBER(VLOOKUP("1.1.4",A7:Q107,7,FALSE)),ROUND(VLOOKUP("1.1.4",A7:Q107,7,FALSE),4),0) - IF(ISNUMBER(VLOOKUP("1.2.2",A7:Q107,7,FALSE)),ROUND(VLOOKUP("1.2.2",A7:Q107,7,FALSE),4),0) + (IF(ISNUMBER(VLOOKUP("4.2",A7:Q107,7,FALSE)),ROUND(VLOOKUP("4.2",A7:Q107,7,FALSE),4),0) - IF(ISNUMBER(VLOOKUP("4.2.1",A7:Q107,7,FALSE)),ROUND(VLOOKUP("4.2.1",A7:Q107,7,FALSE),4),0)) + (IF(ISNUMBER(VLOOKUP("4.3",A7:Q107,7,FALSE)),ROUND(VLOOKUP("4.3",A7:Q107,7,FALSE),4),0) - IF(ISNUMBER(VLOOKUP("4.3.1",A7:Q107,7,FALSE)),ROUND(VLOOKUP("4.3.1",A7:Q107,7,FALSE),4),0)) + (IF(ISNUMBER(VLOOKUP("4.4",A7:Q107,7,FALSE)),ROUND(VLOOKUP("4.4",A7:Q107,7,FALSE),4),0) - IF(ISNUMBER(VLOOKUP("4.4.1",A7:Q107,7,FALSE)),ROUND(VLOOKUP("4.4.1",A7:Q107,7,FALSE),4),0)))</f>
        <v>0.11072747637779165</v>
      </c>
      <c r="H73" s="15">
        <f>IF(ISNUMBER(VLOOKUP("6",A7:Q107,8,FALSE)),ROUND(VLOOKUP("6",A7:Q107,8,FALSE),4),0) / (IF(ISNUMBER(VLOOKUP("1",A7:Q107,8,FALSE)),ROUND(VLOOKUP("1",A7:Q107,8,FALSE),4),0) - IF(ISNUMBER(VLOOKUP("1.1.4",A7:Q107,8,FALSE)),ROUND(VLOOKUP("1.1.4",A7:Q107,8,FALSE),4),0) - IF(ISNUMBER(VLOOKUP("1.2.2",A7:Q107,8,FALSE)),ROUND(VLOOKUP("1.2.2",A7:Q107,8,FALSE),4),0) + (IF(ISNUMBER(VLOOKUP("4.2",A7:Q107,8,FALSE)),ROUND(VLOOKUP("4.2",A7:Q107,8,FALSE),4),0) - IF(ISNUMBER(VLOOKUP("4.2.1",A7:Q107,8,FALSE)),ROUND(VLOOKUP("4.2.1",A7:Q107,8,FALSE),4),0)) + (IF(ISNUMBER(VLOOKUP("4.3",A7:Q107,8,FALSE)),ROUND(VLOOKUP("4.3",A7:Q107,8,FALSE),4),0) - IF(ISNUMBER(VLOOKUP("4.3.1",A7:Q107,8,FALSE)),ROUND(VLOOKUP("4.3.1",A7:Q107,8,FALSE),4),0)) + (IF(ISNUMBER(VLOOKUP("4.4",A7:Q107,8,FALSE)),ROUND(VLOOKUP("4.4",A7:Q107,8,FALSE),4),0) - IF(ISNUMBER(VLOOKUP("4.4.1",A7:Q107,8,FALSE)),ROUND(VLOOKUP("4.4.1",A7:Q107,8,FALSE),4),0)))</f>
        <v>0.10035335021377186</v>
      </c>
      <c r="I73" s="15">
        <f>IF(ISNUMBER(VLOOKUP("6",A7:Q107,9,FALSE)),ROUND(VLOOKUP("6",A7:Q107,9,FALSE),4),0) / (IF(ISNUMBER(VLOOKUP("1",A7:Q107,9,FALSE)),ROUND(VLOOKUP("1",A7:Q107,9,FALSE),4),0) - IF(ISNUMBER(VLOOKUP("1.1.4",A7:Q107,9,FALSE)),ROUND(VLOOKUP("1.1.4",A7:Q107,9,FALSE),4),0) - IF(ISNUMBER(VLOOKUP("1.2.2",A7:Q107,9,FALSE)),ROUND(VLOOKUP("1.2.2",A7:Q107,9,FALSE),4),0) + (IF(ISNUMBER(VLOOKUP("4.2",A7:Q107,9,FALSE)),ROUND(VLOOKUP("4.2",A7:Q107,9,FALSE),4),0) - IF(ISNUMBER(VLOOKUP("4.2.1",A7:Q107,9,FALSE)),ROUND(VLOOKUP("4.2.1",A7:Q107,9,FALSE),4),0)) + (IF(ISNUMBER(VLOOKUP("4.3",A7:Q107,9,FALSE)),ROUND(VLOOKUP("4.3",A7:Q107,9,FALSE),4),0) - IF(ISNUMBER(VLOOKUP("4.3.1",A7:Q107,9,FALSE)),ROUND(VLOOKUP("4.3.1",A7:Q107,9,FALSE),4),0)) + (IF(ISNUMBER(VLOOKUP("4.4",A7:Q107,9,FALSE)),ROUND(VLOOKUP("4.4",A7:Q107,9,FALSE),4),0) - IF(ISNUMBER(VLOOKUP("4.4.1",A7:Q107,9,FALSE)),ROUND(VLOOKUP("4.4.1",A7:Q107,9,FALSE),4),0)))</f>
        <v>8.5076713109138155E-2</v>
      </c>
      <c r="J73" s="15">
        <f>IF(ISNUMBER(VLOOKUP("6",A7:Q107,10,FALSE)),ROUND(VLOOKUP("6",A7:Q107,10,FALSE),4),0) / (IF(ISNUMBER(VLOOKUP("1",A7:Q107,10,FALSE)),ROUND(VLOOKUP("1",A7:Q107,10,FALSE),4),0) - IF(ISNUMBER(VLOOKUP("1.1.4",A7:Q107,10,FALSE)),ROUND(VLOOKUP("1.1.4",A7:Q107,10,FALSE),4),0) - IF(ISNUMBER(VLOOKUP("1.2.2",A7:Q107,10,FALSE)),ROUND(VLOOKUP("1.2.2",A7:Q107,10,FALSE),4),0) + (IF(ISNUMBER(VLOOKUP("4.2",A7:Q107,10,FALSE)),ROUND(VLOOKUP("4.2",A7:Q107,10,FALSE),4),0) - IF(ISNUMBER(VLOOKUP("4.2.1",A7:Q107,10,FALSE)),ROUND(VLOOKUP("4.2.1",A7:Q107,10,FALSE),4),0)) + (IF(ISNUMBER(VLOOKUP("4.3",A7:Q107,10,FALSE)),ROUND(VLOOKUP("4.3",A7:Q107,10,FALSE),4),0) - IF(ISNUMBER(VLOOKUP("4.3.1",A7:Q107,10,FALSE)),ROUND(VLOOKUP("4.3.1",A7:Q107,10,FALSE),4),0)) + (IF(ISNUMBER(VLOOKUP("4.4",A7:Q107,10,FALSE)),ROUND(VLOOKUP("4.4",A7:Q107,10,FALSE),4),0) - IF(ISNUMBER(VLOOKUP("4.4.1",A7:Q107,10,FALSE)),ROUND(VLOOKUP("4.4.1",A7:Q107,10,FALSE),4),0)))</f>
        <v>7.5217011524623567E-2</v>
      </c>
      <c r="K73" s="16">
        <f>IF(ISNUMBER(VLOOKUP("6",A7:Q107,11,FALSE)),ROUND(VLOOKUP("6",A7:Q107,11,FALSE),4),0) / (IF(ISNUMBER(VLOOKUP("1",A7:Q107,11,FALSE)),ROUND(VLOOKUP("1",A7:Q107,11,FALSE),4),0) - IF(ISNUMBER(VLOOKUP("1.1.4",A7:Q107,11,FALSE)),ROUND(VLOOKUP("1.1.4",A7:Q107,11,FALSE),4),0) - IF(ISNUMBER(VLOOKUP("1.2.2",A7:Q107,11,FALSE)),ROUND(VLOOKUP("1.2.2",A7:Q107,11,FALSE),4),0) + (IF(ISNUMBER(VLOOKUP("4.2",A7:Q107,11,FALSE)),ROUND(VLOOKUP("4.2",A7:Q107,11,FALSE),4),0) - IF(ISNUMBER(VLOOKUP("4.2.1",A7:Q107,11,FALSE)),ROUND(VLOOKUP("4.2.1",A7:Q107,11,FALSE),4),0)) + (IF(ISNUMBER(VLOOKUP("4.3",A7:Q107,11,FALSE)),ROUND(VLOOKUP("4.3",A7:Q107,11,FALSE),4),0) - IF(ISNUMBER(VLOOKUP("4.3.1",A7:Q107,11,FALSE)),ROUND(VLOOKUP("4.3.1",A7:Q107,11,FALSE),4),0)) + (IF(ISNUMBER(VLOOKUP("4.4",A7:Q107,11,FALSE)),ROUND(VLOOKUP("4.4",A7:Q107,11,FALSE),4),0) - IF(ISNUMBER(VLOOKUP("4.4.1",A7:Q107,11,FALSE)),ROUND(VLOOKUP("4.4.1",A7:Q107,11,FALSE),4),0)))</f>
        <v>6.8812434079321499E-2</v>
      </c>
      <c r="L73" s="16">
        <f>IF(ISNUMBER(VLOOKUP("6",A7:Q107,12,FALSE)),ROUND(VLOOKUP("6",A7:Q107,12,FALSE),4),0) / (IF(ISNUMBER(VLOOKUP("1",A7:Q107,12,FALSE)),ROUND(VLOOKUP("1",A7:Q107,12,FALSE),4),0) - IF(ISNUMBER(VLOOKUP("1.1.4",A7:Q107,12,FALSE)),ROUND(VLOOKUP("1.1.4",A7:Q107,12,FALSE),4),0) - IF(ISNUMBER(VLOOKUP("1.2.2",A7:Q107,12,FALSE)),ROUND(VLOOKUP("1.2.2",A7:Q107,12,FALSE),4),0) + (IF(ISNUMBER(VLOOKUP("4.2",A7:Q107,12,FALSE)),ROUND(VLOOKUP("4.2",A7:Q107,12,FALSE),4),0) - IF(ISNUMBER(VLOOKUP("4.2.1",A7:Q107,12,FALSE)),ROUND(VLOOKUP("4.2.1",A7:Q107,12,FALSE),4),0)) + (IF(ISNUMBER(VLOOKUP("4.3",A7:Q107,12,FALSE)),ROUND(VLOOKUP("4.3",A7:Q107,12,FALSE),4),0) - IF(ISNUMBER(VLOOKUP("4.3.1",A7:Q107,12,FALSE)),ROUND(VLOOKUP("4.3.1",A7:Q107,12,FALSE),4),0)) + (IF(ISNUMBER(VLOOKUP("4.4",A7:Q107,12,FALSE)),ROUND(VLOOKUP("4.4",A7:Q107,12,FALSE),4),0) - IF(ISNUMBER(VLOOKUP("4.4.1",A7:Q107,12,FALSE)),ROUND(VLOOKUP("4.4.1",A7:Q107,12,FALSE),4),0)))</f>
        <v>5.5273099587775307E-2</v>
      </c>
      <c r="M73" s="16">
        <f>IF(ISNUMBER(VLOOKUP("6",A7:Q107,13,FALSE)),ROUND(VLOOKUP("6",A7:Q107,13,FALSE),4),0) / (IF(ISNUMBER(VLOOKUP("1",A7:Q107,13,FALSE)),ROUND(VLOOKUP("1",A7:Q107,13,FALSE),4),0) - IF(ISNUMBER(VLOOKUP("1.1.4",A7:Q107,13,FALSE)),ROUND(VLOOKUP("1.1.4",A7:Q107,13,FALSE),4),0) - IF(ISNUMBER(VLOOKUP("1.2.2",A7:Q107,13,FALSE)),ROUND(VLOOKUP("1.2.2",A7:Q107,13,FALSE),4),0) + (IF(ISNUMBER(VLOOKUP("4.2",A7:Q107,13,FALSE)),ROUND(VLOOKUP("4.2",A7:Q107,13,FALSE),4),0) - IF(ISNUMBER(VLOOKUP("4.2.1",A7:Q107,13,FALSE)),ROUND(VLOOKUP("4.2.1",A7:Q107,13,FALSE),4),0)) + (IF(ISNUMBER(VLOOKUP("4.3",A7:Q107,13,FALSE)),ROUND(VLOOKUP("4.3",A7:Q107,13,FALSE),4),0) - IF(ISNUMBER(VLOOKUP("4.3.1",A7:Q107,13,FALSE)),ROUND(VLOOKUP("4.3.1",A7:Q107,13,FALSE),4),0)) + (IF(ISNUMBER(VLOOKUP("4.4",A7:Q107,13,FALSE)),ROUND(VLOOKUP("4.4",A7:Q107,13,FALSE),4),0) - IF(ISNUMBER(VLOOKUP("4.4.1",A7:Q107,13,FALSE)),ROUND(VLOOKUP("4.4.1",A7:Q107,13,FALSE),4),0)))</f>
        <v>4.258521660775752E-2</v>
      </c>
      <c r="N73" s="16">
        <f>IF(ISNUMBER(VLOOKUP("6",A7:Q107,14,FALSE)),ROUND(VLOOKUP("6",A7:Q107,14,FALSE),4),0) / (IF(ISNUMBER(VLOOKUP("1",A7:Q107,14,FALSE)),ROUND(VLOOKUP("1",A7:Q107,14,FALSE),4),0) - IF(ISNUMBER(VLOOKUP("1.1.4",A7:Q107,14,FALSE)),ROUND(VLOOKUP("1.1.4",A7:Q107,14,FALSE),4),0) - IF(ISNUMBER(VLOOKUP("1.2.2",A7:Q107,14,FALSE)),ROUND(VLOOKUP("1.2.2",A7:Q107,14,FALSE),4),0) + (IF(ISNUMBER(VLOOKUP("4.2",A7:Q107,14,FALSE)),ROUND(VLOOKUP("4.2",A7:Q107,14,FALSE),4),0) - IF(ISNUMBER(VLOOKUP("4.2.1",A7:Q107,14,FALSE)),ROUND(VLOOKUP("4.2.1",A7:Q107,14,FALSE),4),0)) + (IF(ISNUMBER(VLOOKUP("4.3",A7:Q107,14,FALSE)),ROUND(VLOOKUP("4.3",A7:Q107,14,FALSE),4),0) - IF(ISNUMBER(VLOOKUP("4.3.1",A7:Q107,14,FALSE)),ROUND(VLOOKUP("4.3.1",A7:Q107,14,FALSE),4),0)) + (IF(ISNUMBER(VLOOKUP("4.4",A7:Q107,14,FALSE)),ROUND(VLOOKUP("4.4",A7:Q107,14,FALSE),4),0) - IF(ISNUMBER(VLOOKUP("4.4.1",A7:Q107,14,FALSE)),ROUND(VLOOKUP("4.4.1",A7:Q107,14,FALSE),4),0)))</f>
        <v>3.0649238347048847E-2</v>
      </c>
      <c r="O73" s="16">
        <f>IF(ISNUMBER(VLOOKUP("6",A7:Q107,15,FALSE)),ROUND(VLOOKUP("6",A7:Q107,15,FALSE),4),0) / (IF(ISNUMBER(VLOOKUP("1",A7:Q107,15,FALSE)),ROUND(VLOOKUP("1",A7:Q107,15,FALSE),4),0) - IF(ISNUMBER(VLOOKUP("1.1.4",A7:Q107,15,FALSE)),ROUND(VLOOKUP("1.1.4",A7:Q107,15,FALSE),4),0) - IF(ISNUMBER(VLOOKUP("1.2.2",A7:Q107,15,FALSE)),ROUND(VLOOKUP("1.2.2",A7:Q107,15,FALSE),4),0) + (IF(ISNUMBER(VLOOKUP("4.2",A7:Q107,15,FALSE)),ROUND(VLOOKUP("4.2",A7:Q107,15,FALSE),4),0) - IF(ISNUMBER(VLOOKUP("4.2.1",A7:Q107,15,FALSE)),ROUND(VLOOKUP("4.2.1",A7:Q107,15,FALSE),4),0)) + (IF(ISNUMBER(VLOOKUP("4.3",A7:Q107,15,FALSE)),ROUND(VLOOKUP("4.3",A7:Q107,15,FALSE),4),0) - IF(ISNUMBER(VLOOKUP("4.3.1",A7:Q107,15,FALSE)),ROUND(VLOOKUP("4.3.1",A7:Q107,15,FALSE),4),0)) + (IF(ISNUMBER(VLOOKUP("4.4",A7:Q107,15,FALSE)),ROUND(VLOOKUP("4.4",A7:Q107,15,FALSE),4),0) - IF(ISNUMBER(VLOOKUP("4.4.1",A7:Q107,15,FALSE)),ROUND(VLOOKUP("4.4.1",A7:Q107,15,FALSE),4),0)))</f>
        <v>1.9283767848303452E-2</v>
      </c>
      <c r="P73" s="16">
        <f>IF(ISNUMBER(VLOOKUP("6",A7:Q107,16,FALSE)),ROUND(VLOOKUP("6",A7:Q107,16,FALSE),4),0) / (IF(ISNUMBER(VLOOKUP("1",A7:Q107,16,FALSE)),ROUND(VLOOKUP("1",A7:Q107,16,FALSE),4),0) - IF(ISNUMBER(VLOOKUP("1.1.4",A7:Q107,16,FALSE)),ROUND(VLOOKUP("1.1.4",A7:Q107,16,FALSE),4),0) - IF(ISNUMBER(VLOOKUP("1.2.2",A7:Q107,16,FALSE)),ROUND(VLOOKUP("1.2.2",A7:Q107,16,FALSE),4),0) + (IF(ISNUMBER(VLOOKUP("4.2",A7:Q107,16,FALSE)),ROUND(VLOOKUP("4.2",A7:Q107,16,FALSE),4),0) - IF(ISNUMBER(VLOOKUP("4.2.1",A7:Q107,16,FALSE)),ROUND(VLOOKUP("4.2.1",A7:Q107,16,FALSE),4),0)) + (IF(ISNUMBER(VLOOKUP("4.3",A7:Q107,16,FALSE)),ROUND(VLOOKUP("4.3",A7:Q107,16,FALSE),4),0) - IF(ISNUMBER(VLOOKUP("4.3.1",A7:Q107,16,FALSE)),ROUND(VLOOKUP("4.3.1",A7:Q107,16,FALSE),4),0)) + (IF(ISNUMBER(VLOOKUP("4.4",A7:Q107,16,FALSE)),ROUND(VLOOKUP("4.4",A7:Q107,16,FALSE),4),0) - IF(ISNUMBER(VLOOKUP("4.4.1",A7:Q107,16,FALSE)),ROUND(VLOOKUP("4.4.1",A7:Q107,16,FALSE),4),0)))</f>
        <v>9.4073907517266079E-3</v>
      </c>
      <c r="Q73" s="16">
        <f>IF(ISNUMBER(VLOOKUP("6",A7:Q107,17,FALSE)),ROUND(VLOOKUP("6",A7:Q107,17,FALSE),4),0) / (IF(ISNUMBER(VLOOKUP("1",A7:Q107,17,FALSE)),ROUND(VLOOKUP("1",A7:Q107,17,FALSE),4),0) - IF(ISNUMBER(VLOOKUP("1.1.4",A7:Q107,17,FALSE)),ROUND(VLOOKUP("1.1.4",A7:Q107,17,FALSE),4),0) - IF(ISNUMBER(VLOOKUP("1.2.2",A7:Q107,17,FALSE)),ROUND(VLOOKUP("1.2.2",A7:Q107,17,FALSE),4),0) + (IF(ISNUMBER(VLOOKUP("4.2",A7:Q107,17,FALSE)),ROUND(VLOOKUP("4.2",A7:Q107,17,FALSE),4),0) - IF(ISNUMBER(VLOOKUP("4.2.1",A7:Q107,17,FALSE)),ROUND(VLOOKUP("4.2.1",A7:Q107,17,FALSE),4),0)) + (IF(ISNUMBER(VLOOKUP("4.3",A7:Q107,17,FALSE)),ROUND(VLOOKUP("4.3",A7:Q107,17,FALSE),4),0) - IF(ISNUMBER(VLOOKUP("4.3.1",A7:Q107,17,FALSE)),ROUND(VLOOKUP("4.3.1",A7:Q107,17,FALSE),4),0)) + (IF(ISNUMBER(VLOOKUP("4.4",A7:Q107,17,FALSE)),ROUND(VLOOKUP("4.4",A7:Q107,17,FALSE),4),0) - IF(ISNUMBER(VLOOKUP("4.4.1",A7:Q107,17,FALSE)),ROUND(VLOOKUP("4.4.1",A7:Q107,17,FALSE),4),0)))</f>
        <v>0</v>
      </c>
    </row>
    <row r="74" spans="1:17" ht="38.25" customHeight="1" x14ac:dyDescent="0.25">
      <c r="A74" s="1" t="s">
        <v>145</v>
      </c>
      <c r="B74" s="2" t="s">
        <v>146</v>
      </c>
      <c r="C74" s="24" t="s">
        <v>120</v>
      </c>
      <c r="D74" s="24" t="s">
        <v>120</v>
      </c>
      <c r="E74" s="24" t="s">
        <v>120</v>
      </c>
      <c r="F74" s="24" t="s">
        <v>120</v>
      </c>
      <c r="G74" s="24" t="s">
        <v>120</v>
      </c>
      <c r="H74" s="24" t="s">
        <v>120</v>
      </c>
      <c r="I74" s="24" t="s">
        <v>120</v>
      </c>
      <c r="J74" s="24" t="s">
        <v>120</v>
      </c>
      <c r="K74" s="25" t="s">
        <v>120</v>
      </c>
      <c r="L74" s="25" t="s">
        <v>120</v>
      </c>
      <c r="M74" s="25" t="s">
        <v>120</v>
      </c>
      <c r="N74" s="25" t="s">
        <v>120</v>
      </c>
      <c r="O74" s="25" t="s">
        <v>120</v>
      </c>
      <c r="P74" s="25" t="s">
        <v>120</v>
      </c>
      <c r="Q74" s="25" t="s">
        <v>120</v>
      </c>
    </row>
    <row r="75" spans="1:17" ht="41.25" customHeight="1" x14ac:dyDescent="0.25">
      <c r="A75" s="5" t="s">
        <v>147</v>
      </c>
      <c r="B75" s="6" t="s">
        <v>148</v>
      </c>
      <c r="C75" s="7">
        <v>1277431.42</v>
      </c>
      <c r="D75" s="7">
        <v>2323047.1</v>
      </c>
      <c r="E75" s="7">
        <v>2382589.33</v>
      </c>
      <c r="F75" s="7">
        <v>3104219.86</v>
      </c>
      <c r="G75" s="7">
        <v>1845828.46</v>
      </c>
      <c r="H75" s="7">
        <v>2384134.27</v>
      </c>
      <c r="I75" s="7">
        <v>3134201</v>
      </c>
      <c r="J75" s="7">
        <v>3134201</v>
      </c>
      <c r="K75" s="8">
        <v>4348523</v>
      </c>
      <c r="L75" s="8">
        <v>1613645</v>
      </c>
      <c r="M75" s="8">
        <v>642391</v>
      </c>
      <c r="N75" s="8">
        <v>186136</v>
      </c>
      <c r="O75" s="8">
        <v>0</v>
      </c>
      <c r="P75" s="8">
        <v>0</v>
      </c>
      <c r="Q75" s="8">
        <v>0</v>
      </c>
    </row>
    <row r="76" spans="1:17" ht="52.5" customHeight="1" x14ac:dyDescent="0.25">
      <c r="A76" s="5" t="s">
        <v>149</v>
      </c>
      <c r="B76" s="6" t="s">
        <v>150</v>
      </c>
      <c r="C76" s="7">
        <v>1277431.42</v>
      </c>
      <c r="D76" s="7">
        <v>2323047.1</v>
      </c>
      <c r="E76" s="7">
        <v>2382589.33</v>
      </c>
      <c r="F76" s="7">
        <v>3104219.86</v>
      </c>
      <c r="G76" s="7">
        <v>1845828.46</v>
      </c>
      <c r="H76" s="7">
        <v>2384134.27</v>
      </c>
      <c r="I76" s="7">
        <v>3134201</v>
      </c>
      <c r="J76" s="7">
        <v>3134201</v>
      </c>
      <c r="K76" s="8">
        <v>4348523</v>
      </c>
      <c r="L76" s="8">
        <v>1613645</v>
      </c>
      <c r="M76" s="8">
        <v>642391</v>
      </c>
      <c r="N76" s="8">
        <v>186136</v>
      </c>
      <c r="O76" s="8">
        <v>0</v>
      </c>
      <c r="P76" s="8">
        <v>0</v>
      </c>
      <c r="Q76" s="8">
        <v>0</v>
      </c>
    </row>
    <row r="77" spans="1:17" ht="33.75" customHeight="1" x14ac:dyDescent="0.25">
      <c r="A77" s="5" t="s">
        <v>151</v>
      </c>
      <c r="B77" s="6" t="s">
        <v>152</v>
      </c>
      <c r="C77" s="7">
        <v>1251624.33</v>
      </c>
      <c r="D77" s="7">
        <v>2096173.92</v>
      </c>
      <c r="E77" s="7">
        <v>2257078.39</v>
      </c>
      <c r="F77" s="7">
        <v>2906527.56</v>
      </c>
      <c r="G77" s="7">
        <v>1678885.68</v>
      </c>
      <c r="H77" s="7">
        <v>2344513.7599999998</v>
      </c>
      <c r="I77" s="7">
        <v>3054338</v>
      </c>
      <c r="J77" s="7">
        <v>3054338</v>
      </c>
      <c r="K77" s="8">
        <v>4184150</v>
      </c>
      <c r="L77" s="8">
        <v>1562627</v>
      </c>
      <c r="M77" s="8">
        <v>640596</v>
      </c>
      <c r="N77" s="8">
        <v>186136</v>
      </c>
      <c r="O77" s="8">
        <v>0</v>
      </c>
      <c r="P77" s="8">
        <v>0</v>
      </c>
      <c r="Q77" s="8">
        <v>0</v>
      </c>
    </row>
    <row r="78" spans="1:17" ht="43.5" customHeight="1" x14ac:dyDescent="0.25">
      <c r="A78" s="5" t="s">
        <v>153</v>
      </c>
      <c r="B78" s="6" t="s">
        <v>154</v>
      </c>
      <c r="C78" s="7">
        <v>1217025.83</v>
      </c>
      <c r="D78" s="7">
        <v>4549417.3099999996</v>
      </c>
      <c r="E78" s="7">
        <v>1365624.17</v>
      </c>
      <c r="F78" s="7">
        <v>1095203.42</v>
      </c>
      <c r="G78" s="7">
        <v>39929.08</v>
      </c>
      <c r="H78" s="7">
        <v>579034.80000000005</v>
      </c>
      <c r="I78" s="7">
        <v>1150486</v>
      </c>
      <c r="J78" s="7">
        <v>1150486</v>
      </c>
      <c r="K78" s="8">
        <v>11556778</v>
      </c>
      <c r="L78" s="8">
        <v>3565452</v>
      </c>
      <c r="M78" s="8">
        <v>0</v>
      </c>
      <c r="N78" s="8">
        <v>0</v>
      </c>
      <c r="O78" s="8">
        <v>0</v>
      </c>
      <c r="P78" s="8">
        <v>0</v>
      </c>
      <c r="Q78" s="8">
        <v>0</v>
      </c>
    </row>
    <row r="79" spans="1:17" ht="45.75" customHeight="1" x14ac:dyDescent="0.25">
      <c r="A79" s="5" t="s">
        <v>155</v>
      </c>
      <c r="B79" s="6" t="s">
        <v>156</v>
      </c>
      <c r="C79" s="7">
        <v>1217025.83</v>
      </c>
      <c r="D79" s="7">
        <v>4549417.3099999996</v>
      </c>
      <c r="E79" s="7">
        <v>1365624.17</v>
      </c>
      <c r="F79" s="7">
        <v>1095203.42</v>
      </c>
      <c r="G79" s="7">
        <v>39929.08</v>
      </c>
      <c r="H79" s="7">
        <v>579034.80000000005</v>
      </c>
      <c r="I79" s="7">
        <v>1150486</v>
      </c>
      <c r="J79" s="7">
        <v>1150486</v>
      </c>
      <c r="K79" s="8">
        <v>11556778</v>
      </c>
      <c r="L79" s="8">
        <v>3565452</v>
      </c>
      <c r="M79" s="8">
        <v>0</v>
      </c>
      <c r="N79" s="8">
        <v>0</v>
      </c>
      <c r="O79" s="8">
        <v>0</v>
      </c>
      <c r="P79" s="8">
        <v>0</v>
      </c>
      <c r="Q79" s="8">
        <v>0</v>
      </c>
    </row>
    <row r="80" spans="1:17" ht="32.25" customHeight="1" x14ac:dyDescent="0.25">
      <c r="A80" s="5" t="s">
        <v>157</v>
      </c>
      <c r="B80" s="6" t="s">
        <v>152</v>
      </c>
      <c r="C80" s="7">
        <v>1217025.83</v>
      </c>
      <c r="D80" s="7">
        <v>4549417.3099999996</v>
      </c>
      <c r="E80" s="7">
        <v>1354072.17</v>
      </c>
      <c r="F80" s="7">
        <v>1029306.57</v>
      </c>
      <c r="G80" s="7">
        <v>33273.910000000003</v>
      </c>
      <c r="H80" s="7">
        <v>474808.54</v>
      </c>
      <c r="I80" s="7">
        <v>1146510</v>
      </c>
      <c r="J80" s="7">
        <v>1146510</v>
      </c>
      <c r="K80" s="8">
        <v>11501978</v>
      </c>
      <c r="L80" s="8">
        <v>3565452</v>
      </c>
      <c r="M80" s="8">
        <v>0</v>
      </c>
      <c r="N80" s="8">
        <v>0</v>
      </c>
      <c r="O80" s="8">
        <v>0</v>
      </c>
      <c r="P80" s="8">
        <v>0</v>
      </c>
      <c r="Q80" s="8">
        <v>0</v>
      </c>
    </row>
    <row r="81" spans="1:17" ht="39.75" customHeight="1" x14ac:dyDescent="0.25">
      <c r="A81" s="5" t="s">
        <v>158</v>
      </c>
      <c r="B81" s="6" t="s">
        <v>159</v>
      </c>
      <c r="C81" s="7">
        <v>1371811.63</v>
      </c>
      <c r="D81" s="7">
        <v>2388170.33</v>
      </c>
      <c r="E81" s="7">
        <v>2524012.9500000002</v>
      </c>
      <c r="F81" s="7">
        <v>3370669.71</v>
      </c>
      <c r="G81" s="7">
        <v>1877258.73</v>
      </c>
      <c r="H81" s="7">
        <v>2484400.38</v>
      </c>
      <c r="I81" s="7">
        <v>3134201</v>
      </c>
      <c r="J81" s="7">
        <v>3134201</v>
      </c>
      <c r="K81" s="8">
        <v>4438523</v>
      </c>
      <c r="L81" s="8">
        <v>1703645</v>
      </c>
      <c r="M81" s="8">
        <v>732391</v>
      </c>
      <c r="N81" s="8">
        <v>266607</v>
      </c>
      <c r="O81" s="8">
        <v>0</v>
      </c>
      <c r="P81" s="8">
        <v>0</v>
      </c>
      <c r="Q81" s="8">
        <v>0</v>
      </c>
    </row>
    <row r="82" spans="1:17" ht="47.25" customHeight="1" x14ac:dyDescent="0.25">
      <c r="A82" s="5" t="s">
        <v>160</v>
      </c>
      <c r="B82" s="6" t="s">
        <v>161</v>
      </c>
      <c r="C82" s="7">
        <v>1371811.63</v>
      </c>
      <c r="D82" s="7">
        <v>2388170.33</v>
      </c>
      <c r="E82" s="7">
        <v>2524012.9500000002</v>
      </c>
      <c r="F82" s="7">
        <v>3370669.71</v>
      </c>
      <c r="G82" s="7">
        <v>1877258.73</v>
      </c>
      <c r="H82" s="7">
        <v>2484400.38</v>
      </c>
      <c r="I82" s="7">
        <v>3134201</v>
      </c>
      <c r="J82" s="7">
        <v>3134201</v>
      </c>
      <c r="K82" s="8">
        <v>4438523</v>
      </c>
      <c r="L82" s="8">
        <v>1703645</v>
      </c>
      <c r="M82" s="8">
        <v>732391</v>
      </c>
      <c r="N82" s="8">
        <v>266607</v>
      </c>
      <c r="O82" s="8">
        <v>0</v>
      </c>
      <c r="P82" s="8">
        <v>0</v>
      </c>
      <c r="Q82" s="8">
        <v>0</v>
      </c>
    </row>
    <row r="83" spans="1:17" ht="41.25" customHeight="1" x14ac:dyDescent="0.25">
      <c r="A83" s="5" t="s">
        <v>162</v>
      </c>
      <c r="B83" s="6" t="s">
        <v>163</v>
      </c>
      <c r="C83" s="7">
        <v>1187573.4099999999</v>
      </c>
      <c r="D83" s="7">
        <v>2040037.26</v>
      </c>
      <c r="E83" s="7">
        <v>2236732.9300000002</v>
      </c>
      <c r="F83" s="7">
        <v>2913270.76</v>
      </c>
      <c r="G83" s="7">
        <v>1663519.58</v>
      </c>
      <c r="H83" s="7">
        <v>2438739.41</v>
      </c>
      <c r="I83" s="7">
        <v>3054337</v>
      </c>
      <c r="J83" s="7">
        <v>3054337</v>
      </c>
      <c r="K83" s="8">
        <v>4184150</v>
      </c>
      <c r="L83" s="8">
        <v>1562627</v>
      </c>
      <c r="M83" s="8">
        <v>640596</v>
      </c>
      <c r="N83" s="8">
        <v>233760</v>
      </c>
      <c r="O83" s="8">
        <v>0</v>
      </c>
      <c r="P83" s="8">
        <v>0</v>
      </c>
      <c r="Q83" s="8">
        <v>0</v>
      </c>
    </row>
    <row r="84" spans="1:17" ht="48.75" customHeight="1" x14ac:dyDescent="0.25">
      <c r="A84" s="5" t="s">
        <v>164</v>
      </c>
      <c r="B84" s="6" t="s">
        <v>165</v>
      </c>
      <c r="C84" s="7">
        <v>3496357.52</v>
      </c>
      <c r="D84" s="7">
        <v>3654233.49</v>
      </c>
      <c r="E84" s="7">
        <v>1945702.49</v>
      </c>
      <c r="F84" s="7">
        <v>1215676.6200000001</v>
      </c>
      <c r="G84" s="7">
        <v>82698.240000000005</v>
      </c>
      <c r="H84" s="7">
        <v>579034.80000000005</v>
      </c>
      <c r="I84" s="7">
        <v>1377451</v>
      </c>
      <c r="J84" s="7">
        <v>1377451</v>
      </c>
      <c r="K84" s="8">
        <v>14233002</v>
      </c>
      <c r="L84" s="8">
        <v>4638290</v>
      </c>
      <c r="M84" s="8">
        <v>0</v>
      </c>
      <c r="N84" s="8">
        <v>0</v>
      </c>
      <c r="O84" s="8">
        <v>0</v>
      </c>
      <c r="P84" s="8">
        <v>0</v>
      </c>
      <c r="Q84" s="8">
        <v>0</v>
      </c>
    </row>
    <row r="85" spans="1:17" ht="51.75" customHeight="1" x14ac:dyDescent="0.25">
      <c r="A85" s="5" t="s">
        <v>166</v>
      </c>
      <c r="B85" s="6" t="s">
        <v>167</v>
      </c>
      <c r="C85" s="7">
        <v>3496357.52</v>
      </c>
      <c r="D85" s="7">
        <v>3654233.49</v>
      </c>
      <c r="E85" s="7">
        <v>1945702.49</v>
      </c>
      <c r="F85" s="7">
        <v>1215676.6200000001</v>
      </c>
      <c r="G85" s="7">
        <v>82698.240000000005</v>
      </c>
      <c r="H85" s="7">
        <v>579034.80000000005</v>
      </c>
      <c r="I85" s="7">
        <v>1377451</v>
      </c>
      <c r="J85" s="7">
        <v>1377451</v>
      </c>
      <c r="K85" s="8">
        <v>14233002</v>
      </c>
      <c r="L85" s="8">
        <v>4638290</v>
      </c>
      <c r="M85" s="8">
        <v>0</v>
      </c>
      <c r="N85" s="8">
        <v>0</v>
      </c>
      <c r="O85" s="8">
        <v>0</v>
      </c>
      <c r="P85" s="8">
        <v>0</v>
      </c>
      <c r="Q85" s="8">
        <v>0</v>
      </c>
    </row>
    <row r="86" spans="1:17" ht="48.75" customHeight="1" x14ac:dyDescent="0.25">
      <c r="A86" s="5" t="s">
        <v>168</v>
      </c>
      <c r="B86" s="6" t="s">
        <v>163</v>
      </c>
      <c r="C86" s="7">
        <v>1567281.76</v>
      </c>
      <c r="D86" s="7">
        <v>2489537.44</v>
      </c>
      <c r="E86" s="7">
        <v>1361586.03</v>
      </c>
      <c r="F86" s="7">
        <v>938257.78</v>
      </c>
      <c r="G86" s="7">
        <v>33273.910000000003</v>
      </c>
      <c r="H86" s="7">
        <v>474808.54</v>
      </c>
      <c r="I86" s="7">
        <v>1146510</v>
      </c>
      <c r="J86" s="7">
        <v>1146510</v>
      </c>
      <c r="K86" s="8">
        <v>8229665</v>
      </c>
      <c r="L86" s="8">
        <v>3565452</v>
      </c>
      <c r="M86" s="8">
        <v>0</v>
      </c>
      <c r="N86" s="8">
        <v>0</v>
      </c>
      <c r="O86" s="8">
        <v>0</v>
      </c>
      <c r="P86" s="8">
        <v>0</v>
      </c>
      <c r="Q86" s="8">
        <v>0</v>
      </c>
    </row>
    <row r="87" spans="1:17" ht="35.25" customHeight="1" x14ac:dyDescent="0.25">
      <c r="A87" s="1" t="s">
        <v>169</v>
      </c>
      <c r="B87" s="2" t="s">
        <v>170</v>
      </c>
      <c r="C87" s="24" t="s">
        <v>120</v>
      </c>
      <c r="D87" s="24" t="s">
        <v>120</v>
      </c>
      <c r="E87" s="24" t="s">
        <v>120</v>
      </c>
      <c r="F87" s="24" t="s">
        <v>120</v>
      </c>
      <c r="G87" s="24" t="s">
        <v>120</v>
      </c>
      <c r="H87" s="24" t="s">
        <v>120</v>
      </c>
      <c r="I87" s="24" t="s">
        <v>120</v>
      </c>
      <c r="J87" s="24" t="s">
        <v>120</v>
      </c>
      <c r="K87" s="25" t="s">
        <v>120</v>
      </c>
      <c r="L87" s="25" t="s">
        <v>120</v>
      </c>
      <c r="M87" s="25" t="s">
        <v>120</v>
      </c>
      <c r="N87" s="25" t="s">
        <v>120</v>
      </c>
      <c r="O87" s="25" t="s">
        <v>120</v>
      </c>
      <c r="P87" s="25" t="s">
        <v>120</v>
      </c>
      <c r="Q87" s="25" t="s">
        <v>120</v>
      </c>
    </row>
    <row r="88" spans="1:17" ht="44.25" customHeight="1" x14ac:dyDescent="0.25">
      <c r="A88" s="5" t="s">
        <v>171</v>
      </c>
      <c r="B88" s="6" t="s">
        <v>172</v>
      </c>
      <c r="C88" s="9">
        <f>IF(ISNUMBER(VLOOKUP("10.1.1",A7:Q107,3,FALSE)),ROUND(VLOOKUP("10.1.1",A7:Q107,3,FALSE),4),0) + IF(ISNUMBER(VLOOKUP("10.1.2",A7:Q107,3,FALSE)),ROUND(VLOOKUP("10.1.2",A7:Q107,3,FALSE),4),0)</f>
        <v>4855682.74</v>
      </c>
      <c r="D88" s="9">
        <f>IF(ISNUMBER(VLOOKUP("10.1.1",A7:Q107,4,FALSE)),ROUND(VLOOKUP("10.1.1",A7:Q107,4,FALSE),4),0) + IF(ISNUMBER(VLOOKUP("10.1.2",A7:Q107,4,FALSE)),ROUND(VLOOKUP("10.1.2",A7:Q107,4,FALSE),4),0)</f>
        <v>6339599.1100000003</v>
      </c>
      <c r="E88" s="9">
        <f>IF(ISNUMBER(VLOOKUP("10.1.1",A7:Q107,5,FALSE)),ROUND(VLOOKUP("10.1.1",A7:Q107,5,FALSE),4),0) + IF(ISNUMBER(VLOOKUP("10.1.2",A7:Q107,5,FALSE)),ROUND(VLOOKUP("10.1.2",A7:Q107,5,FALSE),4),0)</f>
        <v>10120511</v>
      </c>
      <c r="F88" s="9">
        <f>IF(ISNUMBER(VLOOKUP("10.1.1",A7:Q107,6,FALSE)),ROUND(VLOOKUP("10.1.1",A7:Q107,6,FALSE),4),0) + IF(ISNUMBER(VLOOKUP("10.1.2",A7:Q107,6,FALSE)),ROUND(VLOOKUP("10.1.2",A7:Q107,6,FALSE),4),0)</f>
        <v>12987912</v>
      </c>
      <c r="G88" s="9">
        <f>IF(ISNUMBER(VLOOKUP("10.1.1",A7:Q107,7,FALSE)),ROUND(VLOOKUP("10.1.1",A7:Q107,7,FALSE),4),0) + IF(ISNUMBER(VLOOKUP("10.1.2",A7:Q107,7,FALSE)),ROUND(VLOOKUP("10.1.2",A7:Q107,7,FALSE),4),0)</f>
        <v>22822592</v>
      </c>
      <c r="H88" s="9">
        <f>IF(ISNUMBER(VLOOKUP("10.1.1",A7:Q107,8,FALSE)),ROUND(VLOOKUP("10.1.1",A7:Q107,8,FALSE),4),0) + IF(ISNUMBER(VLOOKUP("10.1.2",A7:Q107,8,FALSE)),ROUND(VLOOKUP("10.1.2",A7:Q107,8,FALSE),4),0)</f>
        <v>32334321</v>
      </c>
      <c r="I88" s="9">
        <f>IF(ISNUMBER(VLOOKUP("10.1.1",A7:Q107,9,FALSE)),ROUND(VLOOKUP("10.1.1",A7:Q107,9,FALSE),4),0) + IF(ISNUMBER(VLOOKUP("10.1.2",A7:Q107,9,FALSE)),ROUND(VLOOKUP("10.1.2",A7:Q107,9,FALSE),4),0)</f>
        <v>0</v>
      </c>
      <c r="J88" s="9">
        <f>IF(ISNUMBER(VLOOKUP("10.1.1",A7:Q107,10,FALSE)),ROUND(VLOOKUP("10.1.1",A7:Q107,10,FALSE),4),0) + IF(ISNUMBER(VLOOKUP("10.1.2",A7:Q107,10,FALSE)),ROUND(VLOOKUP("10.1.2",A7:Q107,10,FALSE),4),0)</f>
        <v>0</v>
      </c>
      <c r="K88" s="10">
        <f>IF(ISNUMBER(VLOOKUP("10.1.1",A7:Q107,11,FALSE)),ROUND(VLOOKUP("10.1.1",A7:Q107,11,FALSE),4),0) + IF(ISNUMBER(VLOOKUP("10.1.2",A7:Q107,11,FALSE)),ROUND(VLOOKUP("10.1.2",A7:Q107,11,FALSE),4),0)</f>
        <v>15447635</v>
      </c>
      <c r="L88" s="10">
        <f>IF(ISNUMBER(VLOOKUP("10.1.1",A7:Q107,12,FALSE)),ROUND(VLOOKUP("10.1.1",A7:Q107,12,FALSE),4),0) + IF(ISNUMBER(VLOOKUP("10.1.2",A7:Q107,12,FALSE)),ROUND(VLOOKUP("10.1.2",A7:Q107,12,FALSE),4),0)</f>
        <v>7341935</v>
      </c>
      <c r="M88" s="10">
        <f>IF(ISNUMBER(VLOOKUP("10.1.1",A7:Q107,13,FALSE)),ROUND(VLOOKUP("10.1.1",A7:Q107,13,FALSE),4),0) + IF(ISNUMBER(VLOOKUP("10.1.2",A7:Q107,13,FALSE)),ROUND(VLOOKUP("10.1.2",A7:Q107,13,FALSE),4),0)</f>
        <v>732391</v>
      </c>
      <c r="N88" s="10">
        <f>IF(ISNUMBER(VLOOKUP("10.1.1",A7:Q107,14,FALSE)),ROUND(VLOOKUP("10.1.1",A7:Q107,14,FALSE),4),0) + IF(ISNUMBER(VLOOKUP("10.1.2",A7:Q107,14,FALSE)),ROUND(VLOOKUP("10.1.2",A7:Q107,14,FALSE),4),0)</f>
        <v>266607</v>
      </c>
      <c r="O88" s="10">
        <f>IF(ISNUMBER(VLOOKUP("10.1.1",A7:Q107,15,FALSE)),ROUND(VLOOKUP("10.1.1",A7:Q107,15,FALSE),4),0) + IF(ISNUMBER(VLOOKUP("10.1.2",A7:Q107,15,FALSE)),ROUND(VLOOKUP("10.1.2",A7:Q107,15,FALSE),4),0)</f>
        <v>0</v>
      </c>
      <c r="P88" s="10">
        <f>IF(ISNUMBER(VLOOKUP("10.1.1",A7:Q107,16,FALSE)),ROUND(VLOOKUP("10.1.1",A7:Q107,16,FALSE),4),0) + IF(ISNUMBER(VLOOKUP("10.1.2",A7:Q107,16,FALSE)),ROUND(VLOOKUP("10.1.2",A7:Q107,16,FALSE),4),0)</f>
        <v>0</v>
      </c>
      <c r="Q88" s="10">
        <f>IF(ISNUMBER(VLOOKUP("10.1.1",A7:Q107,17,FALSE)),ROUND(VLOOKUP("10.1.1",A7:Q107,17,FALSE),4),0) + IF(ISNUMBER(VLOOKUP("10.1.2",A7:Q107,17,FALSE)),ROUND(VLOOKUP("10.1.2",A7:Q107,17,FALSE),4),0)</f>
        <v>0</v>
      </c>
    </row>
    <row r="89" spans="1:17" ht="30" customHeight="1" x14ac:dyDescent="0.25">
      <c r="A89" s="5" t="s">
        <v>173</v>
      </c>
      <c r="B89" s="6" t="s">
        <v>174</v>
      </c>
      <c r="C89" s="9">
        <v>1359325.22</v>
      </c>
      <c r="D89" s="9">
        <v>1029841.42</v>
      </c>
      <c r="E89" s="9">
        <v>4123525</v>
      </c>
      <c r="F89" s="9">
        <v>4141231</v>
      </c>
      <c r="G89" s="9">
        <v>1909303</v>
      </c>
      <c r="H89" s="9">
        <v>2748299</v>
      </c>
      <c r="I89" s="9">
        <v>0</v>
      </c>
      <c r="J89" s="9">
        <v>0</v>
      </c>
      <c r="K89" s="10">
        <v>4627943</v>
      </c>
      <c r="L89" s="10">
        <v>1703645</v>
      </c>
      <c r="M89" s="10">
        <v>732391</v>
      </c>
      <c r="N89" s="10">
        <v>266607</v>
      </c>
      <c r="O89" s="10">
        <v>0</v>
      </c>
      <c r="P89" s="10">
        <v>0</v>
      </c>
      <c r="Q89" s="10">
        <v>0</v>
      </c>
    </row>
    <row r="90" spans="1:17" ht="30" customHeight="1" x14ac:dyDescent="0.25">
      <c r="A90" s="5" t="s">
        <v>175</v>
      </c>
      <c r="B90" s="6" t="s">
        <v>176</v>
      </c>
      <c r="C90" s="9">
        <v>3496357.52</v>
      </c>
      <c r="D90" s="9">
        <v>5309757.6900000004</v>
      </c>
      <c r="E90" s="9">
        <v>5996986</v>
      </c>
      <c r="F90" s="9">
        <v>8846681</v>
      </c>
      <c r="G90" s="9">
        <v>20913289</v>
      </c>
      <c r="H90" s="9">
        <v>29586022</v>
      </c>
      <c r="I90" s="9">
        <v>0</v>
      </c>
      <c r="J90" s="9">
        <v>0</v>
      </c>
      <c r="K90" s="10">
        <v>10819692</v>
      </c>
      <c r="L90" s="10">
        <v>5638290</v>
      </c>
      <c r="M90" s="10">
        <v>0</v>
      </c>
      <c r="N90" s="10">
        <v>0</v>
      </c>
      <c r="O90" s="10">
        <v>0</v>
      </c>
      <c r="P90" s="10">
        <v>0</v>
      </c>
      <c r="Q90" s="10">
        <v>0</v>
      </c>
    </row>
    <row r="91" spans="1:17" ht="39.75" customHeight="1" x14ac:dyDescent="0.25">
      <c r="A91" s="5" t="s">
        <v>177</v>
      </c>
      <c r="B91" s="6" t="s">
        <v>178</v>
      </c>
      <c r="C91" s="7">
        <v>0</v>
      </c>
      <c r="D91" s="7">
        <v>0</v>
      </c>
      <c r="E91" s="7">
        <v>0</v>
      </c>
      <c r="F91" s="7">
        <v>0</v>
      </c>
      <c r="G91" s="7">
        <v>0</v>
      </c>
      <c r="H91" s="7">
        <v>0</v>
      </c>
      <c r="I91" s="7">
        <v>0</v>
      </c>
      <c r="J91" s="7">
        <v>0</v>
      </c>
      <c r="K91" s="8">
        <v>0</v>
      </c>
      <c r="L91" s="8">
        <v>0</v>
      </c>
      <c r="M91" s="8">
        <v>0</v>
      </c>
      <c r="N91" s="8">
        <v>0</v>
      </c>
      <c r="O91" s="8">
        <v>0</v>
      </c>
      <c r="P91" s="8">
        <v>0</v>
      </c>
      <c r="Q91" s="8">
        <v>0</v>
      </c>
    </row>
    <row r="92" spans="1:17" ht="40.5" customHeight="1" x14ac:dyDescent="0.25">
      <c r="A92" s="5" t="s">
        <v>179</v>
      </c>
      <c r="B92" s="6" t="s">
        <v>180</v>
      </c>
      <c r="C92" s="7">
        <v>0</v>
      </c>
      <c r="D92" s="7">
        <v>0</v>
      </c>
      <c r="E92" s="7">
        <v>0</v>
      </c>
      <c r="F92" s="7">
        <v>0</v>
      </c>
      <c r="G92" s="7">
        <v>0</v>
      </c>
      <c r="H92" s="7">
        <v>0</v>
      </c>
      <c r="I92" s="7">
        <v>0</v>
      </c>
      <c r="J92" s="7">
        <v>0</v>
      </c>
      <c r="K92" s="8">
        <v>0</v>
      </c>
      <c r="L92" s="8">
        <v>0</v>
      </c>
      <c r="M92" s="8">
        <v>0</v>
      </c>
      <c r="N92" s="8">
        <v>0</v>
      </c>
      <c r="O92" s="8">
        <v>0</v>
      </c>
      <c r="P92" s="8">
        <v>0</v>
      </c>
      <c r="Q92" s="8">
        <v>0</v>
      </c>
    </row>
    <row r="93" spans="1:17" ht="57.75" customHeight="1" x14ac:dyDescent="0.25">
      <c r="A93" s="5" t="s">
        <v>181</v>
      </c>
      <c r="B93" s="6" t="s">
        <v>182</v>
      </c>
      <c r="C93" s="7">
        <v>0</v>
      </c>
      <c r="D93" s="7">
        <v>0</v>
      </c>
      <c r="E93" s="7">
        <v>0</v>
      </c>
      <c r="F93" s="7">
        <v>0</v>
      </c>
      <c r="G93" s="7">
        <v>0</v>
      </c>
      <c r="H93" s="7">
        <v>0</v>
      </c>
      <c r="I93" s="7">
        <v>0</v>
      </c>
      <c r="J93" s="7">
        <v>0</v>
      </c>
      <c r="K93" s="8">
        <v>0</v>
      </c>
      <c r="L93" s="8">
        <v>0</v>
      </c>
      <c r="M93" s="8">
        <v>0</v>
      </c>
      <c r="N93" s="8">
        <v>0</v>
      </c>
      <c r="O93" s="8">
        <v>0</v>
      </c>
      <c r="P93" s="8">
        <v>0</v>
      </c>
      <c r="Q93" s="8">
        <v>0</v>
      </c>
    </row>
    <row r="94" spans="1:17" ht="55.5" customHeight="1" x14ac:dyDescent="0.25">
      <c r="A94" s="5" t="s">
        <v>183</v>
      </c>
      <c r="B94" s="6" t="s">
        <v>184</v>
      </c>
      <c r="C94" s="7">
        <v>0</v>
      </c>
      <c r="D94" s="7">
        <v>0</v>
      </c>
      <c r="E94" s="7">
        <v>0</v>
      </c>
      <c r="F94" s="7">
        <v>0</v>
      </c>
      <c r="G94" s="7">
        <v>0</v>
      </c>
      <c r="H94" s="7">
        <v>0</v>
      </c>
      <c r="I94" s="7">
        <v>0</v>
      </c>
      <c r="J94" s="7">
        <v>0</v>
      </c>
      <c r="K94" s="8">
        <v>0</v>
      </c>
      <c r="L94" s="8">
        <v>0</v>
      </c>
      <c r="M94" s="8">
        <v>0</v>
      </c>
      <c r="N94" s="8">
        <v>0</v>
      </c>
      <c r="O94" s="8">
        <v>0</v>
      </c>
      <c r="P94" s="8">
        <v>0</v>
      </c>
      <c r="Q94" s="8">
        <v>0</v>
      </c>
    </row>
    <row r="95" spans="1:17" ht="36.75" customHeight="1" x14ac:dyDescent="0.25">
      <c r="A95" s="5" t="s">
        <v>185</v>
      </c>
      <c r="B95" s="6" t="s">
        <v>186</v>
      </c>
      <c r="C95" s="9">
        <v>2185000</v>
      </c>
      <c r="D95" s="9">
        <v>2320000</v>
      </c>
      <c r="E95" s="9">
        <v>1222500</v>
      </c>
      <c r="F95" s="9">
        <v>1222500</v>
      </c>
      <c r="G95" s="9">
        <v>1322500</v>
      </c>
      <c r="H95" s="9">
        <v>1422500</v>
      </c>
      <c r="I95" s="9">
        <v>1560000</v>
      </c>
      <c r="J95" s="9">
        <v>1560000</v>
      </c>
      <c r="K95" s="10">
        <v>1560000</v>
      </c>
      <c r="L95" s="10">
        <v>1485000</v>
      </c>
      <c r="M95" s="10">
        <v>1375000</v>
      </c>
      <c r="N95" s="10">
        <v>1375000</v>
      </c>
      <c r="O95" s="10">
        <v>1375000</v>
      </c>
      <c r="P95" s="10">
        <v>1250000</v>
      </c>
      <c r="Q95" s="10">
        <v>1250000</v>
      </c>
    </row>
    <row r="96" spans="1:17" ht="33.75" customHeight="1" x14ac:dyDescent="0.25">
      <c r="A96" s="5" t="s">
        <v>187</v>
      </c>
      <c r="B96" s="6" t="s">
        <v>188</v>
      </c>
      <c r="C96" s="9">
        <f>IF(ISNUMBER(VLOOKUP("10.7.1",A7:Q107,3,FALSE)),ROUND(VLOOKUP("10.7.1",A7:Q107,3,FALSE),4),0) + IF(ISNUMBER(VLOOKUP("10.7.2",A7:Q107,3,FALSE)),ROUND(VLOOKUP("10.7.2",A7:Q107,3,FALSE),4),0) + IF(ISNUMBER(VLOOKUP("10.7.3",A7:Q107,3,FALSE)),ROUND(VLOOKUP("10.7.3",A7:Q107,3,FALSE),4),0)</f>
        <v>0</v>
      </c>
      <c r="D96" s="9">
        <f>IF(ISNUMBER(VLOOKUP("10.7.1",A7:Q107,4,FALSE)),ROUND(VLOOKUP("10.7.1",A7:Q107,4,FALSE),4),0) + IF(ISNUMBER(VLOOKUP("10.7.2",A7:Q107,4,FALSE)),ROUND(VLOOKUP("10.7.2",A7:Q107,4,FALSE),4),0) + IF(ISNUMBER(VLOOKUP("10.7.3",A7:Q107,4,FALSE)),ROUND(VLOOKUP("10.7.3",A7:Q107,4,FALSE),4),0)</f>
        <v>0</v>
      </c>
      <c r="E96" s="9">
        <f>IF(ISNUMBER(VLOOKUP("10.7.1",A7:Q107,5,FALSE)),ROUND(VLOOKUP("10.7.1",A7:Q107,5,FALSE),4),0) + IF(ISNUMBER(VLOOKUP("10.7.2",A7:Q107,5,FALSE)),ROUND(VLOOKUP("10.7.2",A7:Q107,5,FALSE),4),0) + IF(ISNUMBER(VLOOKUP("10.7.3",A7:Q107,5,FALSE)),ROUND(VLOOKUP("10.7.3",A7:Q107,5,FALSE),4),0)</f>
        <v>0</v>
      </c>
      <c r="F96" s="9">
        <f>IF(ISNUMBER(VLOOKUP("10.7.1",A7:Q107,6,FALSE)),ROUND(VLOOKUP("10.7.1",A7:Q107,6,FALSE),4),0) + IF(ISNUMBER(VLOOKUP("10.7.2",A7:Q107,6,FALSE)),ROUND(VLOOKUP("10.7.2",A7:Q107,6,FALSE),4),0) + IF(ISNUMBER(VLOOKUP("10.7.3",A7:Q107,6,FALSE)),ROUND(VLOOKUP("10.7.3",A7:Q107,6,FALSE),4),0)</f>
        <v>0</v>
      </c>
      <c r="G96" s="9">
        <f>IF(ISNUMBER(VLOOKUP("10.7.1",A7:Q107,7,FALSE)),ROUND(VLOOKUP("10.7.1",A7:Q107,7,FALSE),4),0) + IF(ISNUMBER(VLOOKUP("10.7.2",A7:Q107,7,FALSE)),ROUND(VLOOKUP("10.7.2",A7:Q107,7,FALSE),4),0) + IF(ISNUMBER(VLOOKUP("10.7.3",A7:Q107,7,FALSE)),ROUND(VLOOKUP("10.7.3",A7:Q107,7,FALSE),4),0)</f>
        <v>0</v>
      </c>
      <c r="H96" s="9">
        <f>IF(ISNUMBER(VLOOKUP("10.7.1",A7:Q107,8,FALSE)),ROUND(VLOOKUP("10.7.1",A7:Q107,8,FALSE),4),0) + IF(ISNUMBER(VLOOKUP("10.7.2",A7:Q107,8,FALSE)),ROUND(VLOOKUP("10.7.2",A7:Q107,8,FALSE),4),0) + IF(ISNUMBER(VLOOKUP("10.7.3",A7:Q107,8,FALSE)),ROUND(VLOOKUP("10.7.3",A7:Q107,8,FALSE),4),0)</f>
        <v>0</v>
      </c>
      <c r="I96" s="9">
        <f>IF(ISNUMBER(VLOOKUP("10.7.1",A7:Q107,9,FALSE)),ROUND(VLOOKUP("10.7.1",A7:Q107,9,FALSE),4),0) + IF(ISNUMBER(VLOOKUP("10.7.2",A7:Q107,9,FALSE)),ROUND(VLOOKUP("10.7.2",A7:Q107,9,FALSE),4),0) + IF(ISNUMBER(VLOOKUP("10.7.3",A7:Q107,9,FALSE)),ROUND(VLOOKUP("10.7.3",A7:Q107,9,FALSE),4),0)</f>
        <v>0</v>
      </c>
      <c r="J96" s="9">
        <f>IF(ISNUMBER(VLOOKUP("10.7.1",A7:Q107,10,FALSE)),ROUND(VLOOKUP("10.7.1",A7:Q107,10,FALSE),4),0) + IF(ISNUMBER(VLOOKUP("10.7.2",A7:Q107,10,FALSE)),ROUND(VLOOKUP("10.7.2",A7:Q107,10,FALSE),4),0) + IF(ISNUMBER(VLOOKUP("10.7.3",A7:Q107,10,FALSE)),ROUND(VLOOKUP("10.7.3",A7:Q107,10,FALSE),4),0)</f>
        <v>0</v>
      </c>
      <c r="K96" s="10">
        <f>IF(ISNUMBER(VLOOKUP("10.7.1",A7:Q107,11,FALSE)),ROUND(VLOOKUP("10.7.1",A7:Q107,11,FALSE),4),0) + IF(ISNUMBER(VLOOKUP("10.7.2",A7:Q107,11,FALSE)),ROUND(VLOOKUP("10.7.2",A7:Q107,11,FALSE),4),0) + IF(ISNUMBER(VLOOKUP("10.7.3",A7:Q107,11,FALSE)),ROUND(VLOOKUP("10.7.3",A7:Q107,11,FALSE),4),0)</f>
        <v>0</v>
      </c>
      <c r="L96" s="10">
        <f>IF(ISNUMBER(VLOOKUP("10.7.1",A7:Q107,12,FALSE)),ROUND(VLOOKUP("10.7.1",A7:Q107,12,FALSE),4),0) + IF(ISNUMBER(VLOOKUP("10.7.2",A7:Q107,12,FALSE)),ROUND(VLOOKUP("10.7.2",A7:Q107,12,FALSE),4),0) + IF(ISNUMBER(VLOOKUP("10.7.3",A7:Q107,12,FALSE)),ROUND(VLOOKUP("10.7.3",A7:Q107,12,FALSE),4),0)</f>
        <v>0</v>
      </c>
      <c r="M96" s="10">
        <f>IF(ISNUMBER(VLOOKUP("10.7.1",A7:Q107,13,FALSE)),ROUND(VLOOKUP("10.7.1",A7:Q107,13,FALSE),4),0) + IF(ISNUMBER(VLOOKUP("10.7.2",A7:Q107,13,FALSE)),ROUND(VLOOKUP("10.7.2",A7:Q107,13,FALSE),4),0) + IF(ISNUMBER(VLOOKUP("10.7.3",A7:Q107,13,FALSE)),ROUND(VLOOKUP("10.7.3",A7:Q107,13,FALSE),4),0)</f>
        <v>0</v>
      </c>
      <c r="N96" s="10">
        <f>IF(ISNUMBER(VLOOKUP("10.7.1",A7:Q107,14,FALSE)),ROUND(VLOOKUP("10.7.1",A7:Q107,14,FALSE),4),0) + IF(ISNUMBER(VLOOKUP("10.7.2",A7:Q107,14,FALSE)),ROUND(VLOOKUP("10.7.2",A7:Q107,14,FALSE),4),0) + IF(ISNUMBER(VLOOKUP("10.7.3",A7:Q107,14,FALSE)),ROUND(VLOOKUP("10.7.3",A7:Q107,14,FALSE),4),0)</f>
        <v>0</v>
      </c>
      <c r="O96" s="10">
        <f>IF(ISNUMBER(VLOOKUP("10.7.1",A7:Q107,15,FALSE)),ROUND(VLOOKUP("10.7.1",A7:Q107,15,FALSE),4),0) + IF(ISNUMBER(VLOOKUP("10.7.2",A7:Q107,15,FALSE)),ROUND(VLOOKUP("10.7.2",A7:Q107,15,FALSE),4),0) + IF(ISNUMBER(VLOOKUP("10.7.3",A7:Q107,15,FALSE)),ROUND(VLOOKUP("10.7.3",A7:Q107,15,FALSE),4),0)</f>
        <v>0</v>
      </c>
      <c r="P96" s="10">
        <f>IF(ISNUMBER(VLOOKUP("10.7.1",A7:Q107,16,FALSE)),ROUND(VLOOKUP("10.7.1",A7:Q107,16,FALSE),4),0) + IF(ISNUMBER(VLOOKUP("10.7.2",A7:Q107,16,FALSE)),ROUND(VLOOKUP("10.7.2",A7:Q107,16,FALSE),4),0) + IF(ISNUMBER(VLOOKUP("10.7.3",A7:Q107,16,FALSE)),ROUND(VLOOKUP("10.7.3",A7:Q107,16,FALSE),4),0)</f>
        <v>0</v>
      </c>
      <c r="Q96" s="10">
        <f>IF(ISNUMBER(VLOOKUP("10.7.1",A7:Q107,17,FALSE)),ROUND(VLOOKUP("10.7.1",A7:Q107,17,FALSE),4),0) + IF(ISNUMBER(VLOOKUP("10.7.2",A7:Q107,17,FALSE)),ROUND(VLOOKUP("10.7.2",A7:Q107,17,FALSE),4),0) + IF(ISNUMBER(VLOOKUP("10.7.3",A7:Q107,17,FALSE)),ROUND(VLOOKUP("10.7.3",A7:Q107,17,FALSE),4),0)</f>
        <v>0</v>
      </c>
    </row>
    <row r="97" spans="1:17" ht="33.75" customHeight="1" x14ac:dyDescent="0.25">
      <c r="A97" s="5" t="s">
        <v>189</v>
      </c>
      <c r="B97" s="6" t="s">
        <v>190</v>
      </c>
      <c r="C97" s="9">
        <v>0</v>
      </c>
      <c r="D97" s="9">
        <v>0</v>
      </c>
      <c r="E97" s="9">
        <v>0</v>
      </c>
      <c r="F97" s="9">
        <v>0</v>
      </c>
      <c r="G97" s="9">
        <v>0</v>
      </c>
      <c r="H97" s="9">
        <v>0</v>
      </c>
      <c r="I97" s="9">
        <v>0</v>
      </c>
      <c r="J97" s="9">
        <v>0</v>
      </c>
      <c r="K97" s="10">
        <v>0</v>
      </c>
      <c r="L97" s="10">
        <v>0</v>
      </c>
      <c r="M97" s="10">
        <v>0</v>
      </c>
      <c r="N97" s="10">
        <v>0</v>
      </c>
      <c r="O97" s="10">
        <v>0</v>
      </c>
      <c r="P97" s="10">
        <v>0</v>
      </c>
      <c r="Q97" s="10">
        <v>0</v>
      </c>
    </row>
    <row r="98" spans="1:17" ht="31.5" customHeight="1" x14ac:dyDescent="0.25">
      <c r="A98" s="5" t="s">
        <v>191</v>
      </c>
      <c r="B98" s="6" t="s">
        <v>192</v>
      </c>
      <c r="C98" s="9">
        <v>0</v>
      </c>
      <c r="D98" s="9">
        <v>0</v>
      </c>
      <c r="E98" s="9">
        <v>0</v>
      </c>
      <c r="F98" s="9">
        <v>0</v>
      </c>
      <c r="G98" s="9">
        <v>0</v>
      </c>
      <c r="H98" s="9">
        <v>0</v>
      </c>
      <c r="I98" s="9">
        <v>0</v>
      </c>
      <c r="J98" s="9">
        <v>0</v>
      </c>
      <c r="K98" s="10">
        <v>0</v>
      </c>
      <c r="L98" s="10">
        <v>0</v>
      </c>
      <c r="M98" s="10">
        <v>0</v>
      </c>
      <c r="N98" s="10">
        <v>0</v>
      </c>
      <c r="O98" s="10">
        <v>0</v>
      </c>
      <c r="P98" s="10">
        <v>0</v>
      </c>
      <c r="Q98" s="10">
        <v>0</v>
      </c>
    </row>
    <row r="99" spans="1:17" ht="36" customHeight="1" x14ac:dyDescent="0.25">
      <c r="A99" s="5" t="s">
        <v>193</v>
      </c>
      <c r="B99" s="6" t="s">
        <v>194</v>
      </c>
      <c r="C99" s="9">
        <v>0</v>
      </c>
      <c r="D99" s="9">
        <v>0</v>
      </c>
      <c r="E99" s="9">
        <v>0</v>
      </c>
      <c r="F99" s="9">
        <v>0</v>
      </c>
      <c r="G99" s="9">
        <v>0</v>
      </c>
      <c r="H99" s="9">
        <v>0</v>
      </c>
      <c r="I99" s="9">
        <v>0</v>
      </c>
      <c r="J99" s="9">
        <v>0</v>
      </c>
      <c r="K99" s="10">
        <v>0</v>
      </c>
      <c r="L99" s="10">
        <v>0</v>
      </c>
      <c r="M99" s="10">
        <v>0</v>
      </c>
      <c r="N99" s="10">
        <v>0</v>
      </c>
      <c r="O99" s="10">
        <v>0</v>
      </c>
      <c r="P99" s="10">
        <v>0</v>
      </c>
      <c r="Q99" s="10">
        <v>0</v>
      </c>
    </row>
    <row r="100" spans="1:17" ht="33.75" customHeight="1" x14ac:dyDescent="0.25">
      <c r="A100" s="5" t="s">
        <v>195</v>
      </c>
      <c r="B100" s="6" t="s">
        <v>196</v>
      </c>
      <c r="C100" s="9">
        <v>0</v>
      </c>
      <c r="D100" s="9">
        <v>0</v>
      </c>
      <c r="E100" s="9">
        <v>0</v>
      </c>
      <c r="F100" s="9">
        <v>0</v>
      </c>
      <c r="G100" s="9">
        <v>0</v>
      </c>
      <c r="H100" s="9">
        <v>0</v>
      </c>
      <c r="I100" s="9">
        <v>0</v>
      </c>
      <c r="J100" s="9">
        <v>0</v>
      </c>
      <c r="K100" s="10">
        <v>0</v>
      </c>
      <c r="L100" s="10">
        <v>0</v>
      </c>
      <c r="M100" s="10">
        <v>0</v>
      </c>
      <c r="N100" s="10">
        <v>0</v>
      </c>
      <c r="O100" s="10">
        <v>0</v>
      </c>
      <c r="P100" s="10">
        <v>0</v>
      </c>
      <c r="Q100" s="10">
        <v>0</v>
      </c>
    </row>
    <row r="101" spans="1:17" ht="32.25" customHeight="1" x14ac:dyDescent="0.25">
      <c r="A101" s="5" t="s">
        <v>197</v>
      </c>
      <c r="B101" s="6" t="s">
        <v>198</v>
      </c>
      <c r="C101" s="9">
        <v>0</v>
      </c>
      <c r="D101" s="9">
        <v>0</v>
      </c>
      <c r="E101" s="9">
        <v>0</v>
      </c>
      <c r="F101" s="9">
        <v>0</v>
      </c>
      <c r="G101" s="9">
        <v>0</v>
      </c>
      <c r="H101" s="9">
        <v>0</v>
      </c>
      <c r="I101" s="9">
        <v>0</v>
      </c>
      <c r="J101" s="9">
        <v>0</v>
      </c>
      <c r="K101" s="10">
        <v>0</v>
      </c>
      <c r="L101" s="10">
        <v>0</v>
      </c>
      <c r="M101" s="10">
        <v>0</v>
      </c>
      <c r="N101" s="10">
        <v>0</v>
      </c>
      <c r="O101" s="10">
        <v>0</v>
      </c>
      <c r="P101" s="10">
        <v>0</v>
      </c>
      <c r="Q101" s="10">
        <v>0</v>
      </c>
    </row>
    <row r="102" spans="1:17" ht="45" customHeight="1" x14ac:dyDescent="0.25">
      <c r="A102" s="5" t="s">
        <v>199</v>
      </c>
      <c r="B102" s="6" t="s">
        <v>200</v>
      </c>
      <c r="C102" s="9">
        <v>0</v>
      </c>
      <c r="D102" s="9">
        <v>0</v>
      </c>
      <c r="E102" s="9">
        <v>0</v>
      </c>
      <c r="F102" s="9">
        <v>0</v>
      </c>
      <c r="G102" s="9">
        <v>0</v>
      </c>
      <c r="H102" s="9">
        <v>0</v>
      </c>
      <c r="I102" s="9">
        <v>0</v>
      </c>
      <c r="J102" s="9">
        <v>0</v>
      </c>
      <c r="K102" s="10">
        <v>0</v>
      </c>
      <c r="L102" s="10">
        <v>0</v>
      </c>
      <c r="M102" s="10">
        <v>0</v>
      </c>
      <c r="N102" s="10">
        <v>0</v>
      </c>
      <c r="O102" s="10">
        <v>0</v>
      </c>
      <c r="P102" s="10">
        <v>0</v>
      </c>
      <c r="Q102" s="10">
        <v>0</v>
      </c>
    </row>
    <row r="103" spans="1:17" ht="45" customHeight="1" x14ac:dyDescent="0.25">
      <c r="A103" s="5" t="s">
        <v>201</v>
      </c>
      <c r="B103" s="6" t="s">
        <v>202</v>
      </c>
      <c r="C103" s="9">
        <v>0</v>
      </c>
      <c r="D103" s="9">
        <v>0</v>
      </c>
      <c r="E103" s="9">
        <v>0</v>
      </c>
      <c r="F103" s="9">
        <v>0</v>
      </c>
      <c r="G103" s="9">
        <v>0</v>
      </c>
      <c r="H103" s="9">
        <v>0</v>
      </c>
      <c r="I103" s="9">
        <v>0</v>
      </c>
      <c r="J103" s="9">
        <v>0</v>
      </c>
      <c r="K103" s="10">
        <v>0</v>
      </c>
      <c r="L103" s="10">
        <v>0</v>
      </c>
      <c r="M103" s="10">
        <v>0</v>
      </c>
      <c r="N103" s="10">
        <v>0</v>
      </c>
      <c r="O103" s="10">
        <v>0</v>
      </c>
      <c r="P103" s="10">
        <v>0</v>
      </c>
      <c r="Q103" s="10">
        <v>0</v>
      </c>
    </row>
    <row r="104" spans="1:17" ht="45" customHeight="1" x14ac:dyDescent="0.25">
      <c r="A104" s="5" t="s">
        <v>203</v>
      </c>
      <c r="B104" s="6" t="s">
        <v>204</v>
      </c>
      <c r="C104" s="9">
        <f>IF(ISNUMBER(VLOOKUP("2.1.3.3",A7:Q107,3,FALSE)),ROUND(VLOOKUP("2.1.3.3",A7:Q107,3,FALSE),4),0) + IF(ISNUMBER(VLOOKUP("5.1.1.4",A7:Q107,3,FALSE)),ROUND(VLOOKUP("5.1.1.4",A7:Q107,3,FALSE),4),0)</f>
        <v>0</v>
      </c>
      <c r="D104" s="9">
        <f>IF(ISNUMBER(VLOOKUP("2.1.3.3",A7:Q107,4,FALSE)),ROUND(VLOOKUP("2.1.3.3",A7:Q107,4,FALSE),4),0) + IF(ISNUMBER(VLOOKUP("5.1.1.4",A7:Q107,4,FALSE)),ROUND(VLOOKUP("5.1.1.4",A7:Q107,4,FALSE),4),0)</f>
        <v>0</v>
      </c>
      <c r="E104" s="9">
        <f>IF(ISNUMBER(VLOOKUP("2.1.3.3",A7:Q107,5,FALSE)),ROUND(VLOOKUP("2.1.3.3",A7:Q107,5,FALSE),4),0) + IF(ISNUMBER(VLOOKUP("5.1.1.4",A7:Q107,5,FALSE)),ROUND(VLOOKUP("5.1.1.4",A7:Q107,5,FALSE),4),0)</f>
        <v>0</v>
      </c>
      <c r="F104" s="9">
        <f>IF(ISNUMBER(VLOOKUP("2.1.3.3",A7:Q107,6,FALSE)),ROUND(VLOOKUP("2.1.3.3",A7:Q107,6,FALSE),4),0) + IF(ISNUMBER(VLOOKUP("5.1.1.4",A7:Q107,6,FALSE)),ROUND(VLOOKUP("5.1.1.4",A7:Q107,6,FALSE),4),0)</f>
        <v>0</v>
      </c>
      <c r="G104" s="9">
        <f>IF(ISNUMBER(VLOOKUP("2.1.3.3",A7:Q107,7,FALSE)),ROUND(VLOOKUP("2.1.3.3",A7:Q107,7,FALSE),4),0) + IF(ISNUMBER(VLOOKUP("5.1.1.4",A7:Q107,7,FALSE)),ROUND(VLOOKUP("5.1.1.4",A7:Q107,7,FALSE),4),0)</f>
        <v>0</v>
      </c>
      <c r="H104" s="9">
        <f>IF(ISNUMBER(VLOOKUP("2.1.3.3",A7:Q107,8,FALSE)),ROUND(VLOOKUP("2.1.3.3",A7:Q107,8,FALSE),4),0) + IF(ISNUMBER(VLOOKUP("5.1.1.4",A7:Q107,8,FALSE)),ROUND(VLOOKUP("5.1.1.4",A7:Q107,8,FALSE),4),0)</f>
        <v>0</v>
      </c>
      <c r="I104" s="9">
        <f>IF(ISNUMBER(VLOOKUP("2.1.3.3",A7:Q107,9,FALSE)),ROUND(VLOOKUP("2.1.3.3",A7:Q107,9,FALSE),4),0) + IF(ISNUMBER(VLOOKUP("5.1.1.4",A7:Q107,9,FALSE)),ROUND(VLOOKUP("5.1.1.4",A7:Q107,9,FALSE),4),0)</f>
        <v>0</v>
      </c>
      <c r="J104" s="9">
        <f>IF(ISNUMBER(VLOOKUP("2.1.3.3",A7:Q107,10,FALSE)),ROUND(VLOOKUP("2.1.3.3",A7:Q107,10,FALSE),4),0) + IF(ISNUMBER(VLOOKUP("5.1.1.4",A7:Q107,10,FALSE)),ROUND(VLOOKUP("5.1.1.4",A7:Q107,10,FALSE),4),0)</f>
        <v>0</v>
      </c>
      <c r="K104" s="10">
        <f>IF(ISNUMBER(VLOOKUP("2.1.3.3",A7:Q107,11,FALSE)),ROUND(VLOOKUP("2.1.3.3",A7:Q107,11,FALSE),4),0) + IF(ISNUMBER(VLOOKUP("5.1.1.4",A7:Q107,11,FALSE)),ROUND(VLOOKUP("5.1.1.4",A7:Q107,11,FALSE),4),0)</f>
        <v>0</v>
      </c>
      <c r="L104" s="10">
        <f>IF(ISNUMBER(VLOOKUP("2.1.3.3",A7:Q107,12,FALSE)),ROUND(VLOOKUP("2.1.3.3",A7:Q107,12,FALSE),4),0) + IF(ISNUMBER(VLOOKUP("5.1.1.4",A7:Q107,12,FALSE)),ROUND(VLOOKUP("5.1.1.4",A7:Q107,12,FALSE),4),0)</f>
        <v>0</v>
      </c>
      <c r="M104" s="10">
        <f>IF(ISNUMBER(VLOOKUP("2.1.3.3",A7:Q107,13,FALSE)),ROUND(VLOOKUP("2.1.3.3",A7:Q107,13,FALSE),4),0) + IF(ISNUMBER(VLOOKUP("5.1.1.4",A7:Q107,13,FALSE)),ROUND(VLOOKUP("5.1.1.4",A7:Q107,13,FALSE),4),0)</f>
        <v>0</v>
      </c>
      <c r="N104" s="10">
        <f>IF(ISNUMBER(VLOOKUP("2.1.3.3",A7:Q107,14,FALSE)),ROUND(VLOOKUP("2.1.3.3",A7:Q107,14,FALSE),4),0) + IF(ISNUMBER(VLOOKUP("5.1.1.4",A7:Q107,14,FALSE)),ROUND(VLOOKUP("5.1.1.4",A7:Q107,14,FALSE),4),0)</f>
        <v>0</v>
      </c>
      <c r="O104" s="10">
        <f>IF(ISNUMBER(VLOOKUP("2.1.3.3",A7:Q107,15,FALSE)),ROUND(VLOOKUP("2.1.3.3",A7:Q107,15,FALSE),4),0) + IF(ISNUMBER(VLOOKUP("5.1.1.4",A7:Q107,15,FALSE)),ROUND(VLOOKUP("5.1.1.4",A7:Q107,15,FALSE),4),0)</f>
        <v>0</v>
      </c>
      <c r="P104" s="10">
        <f>IF(ISNUMBER(VLOOKUP("2.1.3.3",A7:Q107,16,FALSE)),ROUND(VLOOKUP("2.1.3.3",A7:Q107,16,FALSE),4),0) + IF(ISNUMBER(VLOOKUP("5.1.1.4",A7:Q107,16,FALSE)),ROUND(VLOOKUP("5.1.1.4",A7:Q107,16,FALSE),4),0)</f>
        <v>0</v>
      </c>
      <c r="Q104" s="10">
        <f>IF(ISNUMBER(VLOOKUP("2.1.3.3",A7:Q107,17,FALSE)),ROUND(VLOOKUP("2.1.3.3",A7:Q107,17,FALSE),4),0) + IF(ISNUMBER(VLOOKUP("5.1.1.4",A7:Q107,17,FALSE)),ROUND(VLOOKUP("5.1.1.4",A7:Q107,17,FALSE),4),0)</f>
        <v>0</v>
      </c>
    </row>
    <row r="105" spans="1:17" ht="45" customHeight="1" x14ac:dyDescent="0.25">
      <c r="A105" s="5" t="s">
        <v>205</v>
      </c>
      <c r="B105" s="6" t="s">
        <v>206</v>
      </c>
      <c r="C105" s="7">
        <v>0</v>
      </c>
      <c r="D105" s="7">
        <v>0</v>
      </c>
      <c r="E105" s="7">
        <v>0</v>
      </c>
      <c r="F105" s="7">
        <v>0</v>
      </c>
      <c r="G105" s="7">
        <v>0</v>
      </c>
      <c r="H105" s="7">
        <v>0</v>
      </c>
      <c r="I105" s="7">
        <v>0</v>
      </c>
      <c r="J105" s="7">
        <v>0</v>
      </c>
      <c r="K105" s="8">
        <v>0</v>
      </c>
      <c r="L105" s="8">
        <v>0</v>
      </c>
      <c r="M105" s="8">
        <v>0</v>
      </c>
      <c r="N105" s="8">
        <v>0</v>
      </c>
      <c r="O105" s="8">
        <v>0</v>
      </c>
      <c r="P105" s="8">
        <v>0</v>
      </c>
      <c r="Q105" s="8">
        <v>0</v>
      </c>
    </row>
    <row r="106" spans="1:17" ht="45" customHeight="1" x14ac:dyDescent="0.25">
      <c r="A106" s="5" t="s">
        <v>207</v>
      </c>
      <c r="B106" s="6" t="s">
        <v>208</v>
      </c>
      <c r="C106" s="7">
        <v>0</v>
      </c>
      <c r="D106" s="7">
        <v>0</v>
      </c>
      <c r="E106" s="7">
        <v>0</v>
      </c>
      <c r="F106" s="7">
        <v>0</v>
      </c>
      <c r="G106" s="7">
        <v>0</v>
      </c>
      <c r="H106" s="7">
        <v>0</v>
      </c>
      <c r="I106" s="7">
        <v>0</v>
      </c>
      <c r="J106" s="7">
        <v>0</v>
      </c>
      <c r="K106" s="8">
        <v>0</v>
      </c>
      <c r="L106" s="8">
        <v>0</v>
      </c>
      <c r="M106" s="8">
        <v>0</v>
      </c>
      <c r="N106" s="8">
        <v>0</v>
      </c>
      <c r="O106" s="8">
        <v>0</v>
      </c>
      <c r="P106" s="8">
        <v>0</v>
      </c>
      <c r="Q106" s="8">
        <v>0</v>
      </c>
    </row>
  </sheetData>
  <mergeCells count="4">
    <mergeCell ref="C61:Q61"/>
    <mergeCell ref="C65:Q65"/>
    <mergeCell ref="C74:Q74"/>
    <mergeCell ref="C87:Q87"/>
  </mergeCells>
  <conditionalFormatting sqref="B36:Q36">
    <cfRule type="beginsWith" dxfId="3" priority="1" operator="beginsWith" text="Tak">
      <formula>LEFT(B36,LEN("Tak"))="Tak"</formula>
    </cfRule>
    <cfRule type="beginsWith" dxfId="2" priority="2" operator="beginsWith" text="Nie">
      <formula>LEFT(B36,LEN("Nie"))="Nie"</formula>
    </cfRule>
  </conditionalFormatting>
  <conditionalFormatting sqref="B71:Q72">
    <cfRule type="beginsWith" dxfId="1" priority="3" operator="beginsWith" text="Tak">
      <formula>LEFT(B71,LEN("Tak"))="Tak"</formula>
    </cfRule>
    <cfRule type="beginsWith" dxfId="0" priority="4" operator="beginsWith" text="Nie">
      <formula>LEFT(B71,LEN("Nie"))="Nie"</formula>
    </cfRule>
  </conditionalFormatting>
  <pageMargins left="0.51181102362204722" right="0.51181102362204722" top="0.35433070866141736" bottom="0.35433070866141736" header="0.31496062992125984" footer="0.31496062992125984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Załącznik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Wieloletnia prognoza finansowa</dc:title>
  <dc:subject>ePublink WPF - Załącznik 1</dc:subject>
  <dc:creator>http://www.publink.com/</dc:creator>
  <cp:keywords>wpf, wieloletnia prognoza finansowa, wpf asystent</cp:keywords>
  <cp:lastModifiedBy>Anna Buniak</cp:lastModifiedBy>
  <cp:lastPrinted>2025-12-03T13:32:56Z</cp:lastPrinted>
  <dcterms:created xsi:type="dcterms:W3CDTF">2025-12-03T13:32:10Z</dcterms:created>
  <dcterms:modified xsi:type="dcterms:W3CDTF">2025-12-03T14:02:52Z</dcterms:modified>
</cp:coreProperties>
</file>