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4\uchwaly\XXIV 123 26 wpf\"/>
    </mc:Choice>
  </mc:AlternateContent>
  <xr:revisionPtr revIDLastSave="0" documentId="13_ncr:1_{CA70F6C0-E6EC-46CB-82AD-F5E8D7D05C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1" sheetId="1" r:id="rId1"/>
  </sheets>
  <calcPr calcId="181029"/>
</workbook>
</file>

<file path=xl/calcChain.xml><?xml version="1.0" encoding="utf-8"?>
<calcChain xmlns="http://schemas.openxmlformats.org/spreadsheetml/2006/main">
  <c r="J96" i="1" l="1"/>
  <c r="I96" i="1"/>
  <c r="H96" i="1"/>
  <c r="G96" i="1"/>
  <c r="F96" i="1"/>
  <c r="E96" i="1"/>
  <c r="D96" i="1"/>
  <c r="C96" i="1"/>
  <c r="J88" i="1"/>
  <c r="I88" i="1"/>
  <c r="H88" i="1"/>
  <c r="G88" i="1"/>
  <c r="F88" i="1"/>
  <c r="E88" i="1"/>
  <c r="D88" i="1"/>
  <c r="C88" i="1"/>
  <c r="J80" i="1"/>
  <c r="I80" i="1"/>
  <c r="H80" i="1"/>
  <c r="G80" i="1"/>
  <c r="F80" i="1"/>
  <c r="E80" i="1"/>
  <c r="D80" i="1"/>
  <c r="C80" i="1"/>
  <c r="J63" i="1"/>
  <c r="I63" i="1"/>
  <c r="H63" i="1"/>
  <c r="G63" i="1"/>
  <c r="F63" i="1"/>
  <c r="E63" i="1"/>
  <c r="D63" i="1"/>
  <c r="C63" i="1"/>
  <c r="J62" i="1"/>
  <c r="I62" i="1"/>
  <c r="H62" i="1"/>
  <c r="G62" i="1"/>
  <c r="F62" i="1"/>
  <c r="E62" i="1"/>
  <c r="D62" i="1"/>
  <c r="C62" i="1"/>
  <c r="J48" i="1"/>
  <c r="J45" i="1" s="1"/>
  <c r="I48" i="1"/>
  <c r="I45" i="1" s="1"/>
  <c r="H48" i="1"/>
  <c r="H45" i="1" s="1"/>
  <c r="G48" i="1"/>
  <c r="G45" i="1" s="1"/>
  <c r="F48" i="1"/>
  <c r="F45" i="1" s="1"/>
  <c r="E48" i="1"/>
  <c r="E45" i="1" s="1"/>
  <c r="D48" i="1"/>
  <c r="D45" i="1" s="1"/>
  <c r="C48" i="1"/>
  <c r="C45" i="1" s="1"/>
  <c r="J43" i="1"/>
  <c r="I43" i="1"/>
  <c r="H43" i="1"/>
  <c r="G43" i="1"/>
  <c r="F43" i="1"/>
  <c r="E43" i="1"/>
  <c r="D43" i="1"/>
  <c r="C43" i="1"/>
  <c r="J32" i="1"/>
  <c r="I32" i="1"/>
  <c r="H32" i="1"/>
  <c r="G32" i="1"/>
  <c r="F32" i="1"/>
  <c r="E32" i="1"/>
  <c r="D32" i="1"/>
  <c r="C32" i="1"/>
  <c r="J26" i="1"/>
  <c r="I26" i="1"/>
  <c r="H26" i="1"/>
  <c r="G26" i="1"/>
  <c r="F26" i="1"/>
  <c r="E26" i="1"/>
  <c r="D26" i="1"/>
  <c r="C26" i="1"/>
  <c r="J18" i="1"/>
  <c r="I18" i="1"/>
  <c r="H18" i="1"/>
  <c r="G18" i="1"/>
  <c r="F18" i="1"/>
  <c r="E18" i="1"/>
  <c r="D18" i="1"/>
  <c r="C18" i="1"/>
  <c r="J14" i="1"/>
  <c r="I14" i="1"/>
  <c r="H14" i="1"/>
  <c r="G14" i="1"/>
  <c r="F14" i="1"/>
  <c r="E14" i="1"/>
  <c r="D14" i="1"/>
  <c r="C14" i="1"/>
  <c r="J7" i="1"/>
  <c r="I7" i="1"/>
  <c r="H7" i="1"/>
  <c r="G7" i="1"/>
  <c r="F7" i="1"/>
  <c r="E7" i="1"/>
  <c r="D7" i="1"/>
  <c r="C7" i="1"/>
  <c r="C17" i="1" l="1"/>
  <c r="D17" i="1"/>
  <c r="E17" i="1"/>
  <c r="G17" i="1"/>
  <c r="F17" i="1"/>
  <c r="H6" i="1"/>
  <c r="G6" i="1"/>
  <c r="D60" i="1"/>
  <c r="D64" i="1" s="1"/>
  <c r="C60" i="1"/>
  <c r="C65" i="1" s="1"/>
  <c r="H60" i="1"/>
  <c r="H64" i="1" s="1"/>
  <c r="E60" i="1"/>
  <c r="E64" i="1" s="1"/>
  <c r="I60" i="1"/>
  <c r="F60" i="1"/>
  <c r="G60" i="1"/>
  <c r="G65" i="1" s="1"/>
  <c r="J17" i="1"/>
  <c r="I17" i="1"/>
  <c r="H17" i="1"/>
  <c r="J60" i="1"/>
  <c r="J64" i="1" s="1"/>
  <c r="F6" i="1"/>
  <c r="E6" i="1"/>
  <c r="D6" i="1"/>
  <c r="C6" i="1"/>
  <c r="J58" i="1"/>
  <c r="J57" i="1"/>
  <c r="J61" i="1"/>
  <c r="J6" i="1"/>
  <c r="I57" i="1"/>
  <c r="I6" i="1"/>
  <c r="I58" i="1"/>
  <c r="I61" i="1"/>
  <c r="H57" i="1"/>
  <c r="H58" i="1"/>
  <c r="H61" i="1"/>
  <c r="G57" i="1"/>
  <c r="G58" i="1"/>
  <c r="G61" i="1"/>
  <c r="F57" i="1"/>
  <c r="F58" i="1"/>
  <c r="F61" i="1"/>
  <c r="E57" i="1"/>
  <c r="E58" i="1"/>
  <c r="E61" i="1"/>
  <c r="D57" i="1"/>
  <c r="D58" i="1"/>
  <c r="D61" i="1"/>
  <c r="C57" i="1"/>
  <c r="C58" i="1"/>
  <c r="C61" i="1"/>
  <c r="H30" i="1" l="1"/>
  <c r="G30" i="1"/>
  <c r="J65" i="1"/>
  <c r="D65" i="1"/>
  <c r="C64" i="1"/>
  <c r="E65" i="1"/>
  <c r="G64" i="1"/>
  <c r="H65" i="1"/>
  <c r="I65" i="1"/>
  <c r="I64" i="1"/>
  <c r="F64" i="1"/>
  <c r="F65" i="1"/>
  <c r="F30" i="1"/>
  <c r="F31" i="1" s="1"/>
  <c r="E30" i="1"/>
  <c r="D30" i="1"/>
  <c r="C30" i="1"/>
  <c r="J30" i="1"/>
  <c r="I30" i="1"/>
  <c r="H31" i="1"/>
  <c r="G31" i="1"/>
  <c r="E31" i="1" l="1"/>
  <c r="D31" i="1"/>
  <c r="C31" i="1"/>
  <c r="J31" i="1"/>
  <c r="I31" i="1"/>
</calcChain>
</file>

<file path=xl/sharedStrings.xml><?xml version="1.0" encoding="utf-8"?>
<sst xmlns="http://schemas.openxmlformats.org/spreadsheetml/2006/main" count="278" uniqueCount="200">
  <si>
    <t>Lp.</t>
  </si>
  <si>
    <t>Wyszczególnienie</t>
  </si>
  <si>
    <t>2020</t>
  </si>
  <si>
    <t>2021</t>
  </si>
  <si>
    <t>2022</t>
  </si>
  <si>
    <t>2023</t>
  </si>
  <si>
    <t>2024</t>
  </si>
  <si>
    <t>2025 3kw.</t>
  </si>
  <si>
    <t>2025 pw.</t>
  </si>
  <si>
    <t>2026</t>
  </si>
  <si>
    <t>2027</t>
  </si>
  <si>
    <t>2028</t>
  </si>
  <si>
    <t>2029</t>
  </si>
  <si>
    <t>2030</t>
  </si>
  <si>
    <t>2031</t>
  </si>
  <si>
    <t>2032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</si>
  <si>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</si>
  <si>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</si>
  <si>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</si>
  <si>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</si>
  <si>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</si>
  <si>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</si>
  <si>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</si>
  <si>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</si>
  <si>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</si>
  <si>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</si>
  <si>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</si>
  <si>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</si>
  <si>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</si>
  <si>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</si>
  <si>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</si>
  <si>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</si>
  <si>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Inne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</si>
  <si>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</si>
  <si>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</si>
  <si>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</si>
  <si>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</si>
  <si>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</si>
  <si>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</si>
  <si>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</si>
  <si>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</si>
  <si>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</si>
  <si>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</si>
  <si>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</si>
  <si>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</si>
  <si>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</si>
  <si>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</si>
  <si>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</si>
  <si>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</si>
  <si>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</si>
  <si>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</si>
  <si>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</si>
  <si>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</si>
  <si>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</si>
  <si>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</si>
  <si>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</si>
  <si>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</si>
  <si>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</si>
  <si>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</si>
  <si>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</si>
  <si>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</si>
  <si>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</si>
  <si>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</si>
  <si>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2.2.x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</si>
  <si>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</si>
  <si>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</si>
  <si>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</si>
  <si>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</si>
  <si>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</si>
  <si>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</si>
  <si>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</si>
  <si>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</si>
  <si>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</si>
  <si>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</si>
  <si>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</si>
  <si>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</si>
  <si>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</si>
  <si>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</si>
  <si>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</si>
  <si>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</si>
  <si>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</si>
  <si>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</si>
  <si>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</si>
  <si>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</si>
  <si>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</si>
  <si>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</si>
  <si>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</si>
  <si>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</si>
  <si>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</si>
  <si>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</si>
  <si>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</si>
  <si>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</si>
  <si>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</si>
  <si>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</si>
  <si>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</si>
  <si>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</si>
  <si>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</si>
  <si>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</si>
  <si>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</si>
  <si>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</si>
  <si>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</si>
  <si>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</si>
  <si>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</si>
  <si>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</si>
  <si>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</si>
  <si>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</si>
  <si>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</si>
  <si>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</si>
  <si>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</si>
  <si>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</si>
  <si>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</si>
  <si>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</si>
  <si>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</si>
  <si>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</si>
  <si>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</si>
  <si>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</si>
  <si>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</si>
  <si>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</si>
  <si>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</si>
  <si>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</si>
  <si>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</si>
  <si>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</si>
  <si>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</si>
  <si>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</si>
  <si>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</si>
  <si>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</si>
  <si>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</si>
  <si>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</si>
  <si>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</si>
  <si>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</si>
  <si>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</si>
  <si>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</si>
  <si>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</si>
  <si>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</si>
  <si>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</si>
  <si>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</si>
  <si>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</si>
  <si>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</si>
  <si>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</si>
  <si>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</si>
  <si>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</si>
  <si>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</si>
  <si>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</si>
  <si>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</si>
  <si>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</si>
  <si>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</si>
  <si>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</si>
  <si>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</si>
  <si>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</si>
  <si>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</si>
  <si>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</si>
  <si>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</si>
  <si>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</si>
  <si>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</si>
  <si>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</si>
  <si>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</si>
  <si>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</si>
  <si>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</si>
  <si>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</si>
  <si>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</si>
  <si>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</si>
  <si>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</si>
  <si>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</si>
  <si>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</si>
  <si>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</si>
  <si>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</si>
  <si>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</si>
  <si>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</si>
  <si>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</si>
  <si>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</si>
  <si>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</si>
  <si>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</si>
  <si>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</si>
  <si>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</si>
  <si>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</si>
  <si>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</si>
  <si>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</si>
  <si>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</si>
  <si>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</si>
  <si>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</si>
  <si>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</si>
  <si>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</si>
  <si>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</si>
  <si>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</si>
  <si>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</si>
  <si>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</si>
  <si>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</si>
  <si>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</si>
  <si>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</si>
  <si>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</si>
  <si>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</si>
  <si>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</si>
  <si>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</si>
  <si>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 xml:space="preserve">Załącznik Nr 1 do Uchwały </t>
  </si>
  <si>
    <t>WIELOLETNIA PROGNOZA FINANSOWA POWIATU ŚWIDWIŃSKIEGO NA LATA 2026-2032</t>
  </si>
  <si>
    <t>Rady Powiatu Świdwińskiego</t>
  </si>
  <si>
    <t>Tak</t>
  </si>
  <si>
    <t>7.2.</t>
  </si>
  <si>
    <t>Różnica między dochodami bieżącymi, skorygowanymi o środki, a wydatkami bieżącymi</t>
  </si>
  <si>
    <t>Nr XXIV/123/26 z dnia 25.06.2026r.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</si>
</sst>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ECEAEC"/>
      </patternFill>
    </fill>
    <fill>
      <patternFill patternType="solid">
        <fgColor rgb="FFF4F2FD"/>
      </patternFill>
    </fill>
    <fill>
      <patternFill patternType="solid">
        <fgColor rgb="FF99DFC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0" fontId="3" fillId="3" borderId="1" xfId="0" applyNumberFormat="1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4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workbookViewId="0">
      <selection activeCell="Q3" sqref="Q3"/>
    </sheetView>
  </sheetViews>
  <sheetFormatPr defaultRowHeight="14.4" x14ac:dyDescent="0.3"/>
  <cols>
    <col min="1" max="1" width="7.109375" customWidth="1"/>
    <col min="2" max="2" width="50.33203125" customWidth="1"/>
    <col min="3" max="10" width="2.88671875" hidden="1" customWidth="1"/>
    <col min="11" max="17" width="15.6640625" style="16" customWidth="1"/>
  </cols>
  <sheetData>
    <row r="1" spans="1:17" x14ac:dyDescent="0.3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 t="s">
        <v>193</v>
      </c>
    </row>
    <row r="2" spans="1:17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 t="s">
        <v>195</v>
      </c>
    </row>
    <row r="3" spans="1:17" ht="15.6" x14ac:dyDescent="0.3">
      <c r="B3" s="27"/>
      <c r="C3" s="14"/>
      <c r="D3" s="14"/>
      <c r="E3" s="14"/>
      <c r="F3" s="14"/>
      <c r="G3" s="14"/>
      <c r="H3" s="14"/>
      <c r="I3" s="14"/>
      <c r="J3" s="14"/>
      <c r="K3" s="28" t="s">
        <v>194</v>
      </c>
      <c r="L3" s="14"/>
      <c r="M3" s="14"/>
      <c r="N3" s="14"/>
      <c r="O3" s="14"/>
      <c r="P3" s="14"/>
      <c r="Q3" s="15" t="s">
        <v>199</v>
      </c>
    </row>
    <row r="5" spans="1:17" s="18" customFormat="1" ht="25.5" customHeight="1" x14ac:dyDescent="0.3">
      <c r="A5" s="17" t="s">
        <v>0</v>
      </c>
      <c r="B5" s="17" t="s">
        <v>1</v>
      </c>
      <c r="C5" s="17">
        <v>0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9" t="s">
        <v>9</v>
      </c>
      <c r="L5" s="19" t="s">
        <v>10</v>
      </c>
      <c r="M5" s="19" t="s">
        <v>11</v>
      </c>
      <c r="N5" s="19" t="s">
        <v>12</v>
      </c>
      <c r="O5" s="19" t="s">
        <v>13</v>
      </c>
      <c r="P5" s="19" t="s">
        <v>14</v>
      </c>
      <c r="Q5" s="19" t="s">
        <v>15</v>
      </c>
    </row>
    <row r="6" spans="1:17" ht="27.9" customHeight="1" x14ac:dyDescent="0.3">
      <c r="A6" s="1" t="s">
        <v>16</v>
      </c>
      <c r="B6" s="2" t="s">
        <v>17</v>
      </c>
      <c r="C6" s="3">
        <f>IF(ISNUMBER(VLOOKUP("1.1",A6:Q98,3,FALSE)),ROUND(VLOOKUP("1.1",A6:Q98,3,FALSE),4),0) + IF(ISNUMBER(VLOOKUP("1.2",A6:Q98,3,FALSE)),ROUND(VLOOKUP("1.2",A6:Q98,3,FALSE),4),0)</f>
        <v>73395538.540000007</v>
      </c>
      <c r="D6" s="3">
        <f>IF(ISNUMBER(VLOOKUP("1.1",A6:Q98,4,FALSE)),ROUND(VLOOKUP("1.1",A6:Q98,4,FALSE),4),0) + IF(ISNUMBER(VLOOKUP("1.2",A6:Q98,4,FALSE)),ROUND(VLOOKUP("1.2",A6:Q98,4,FALSE),4),0)</f>
        <v>86306723.230000004</v>
      </c>
      <c r="E6" s="3">
        <f>IF(ISNUMBER(VLOOKUP("1.1",A6:Q98,5,FALSE)),ROUND(VLOOKUP("1.1",A6:Q98,5,FALSE),4),0) + IF(ISNUMBER(VLOOKUP("1.2",A6:Q98,5,FALSE)),ROUND(VLOOKUP("1.2",A6:Q98,5,FALSE),4),0)</f>
        <v>87044976.429999992</v>
      </c>
      <c r="F6" s="3">
        <f>IF(ISNUMBER(VLOOKUP("1.1",A6:Q98,6,FALSE)),ROUND(VLOOKUP("1.1",A6:Q98,6,FALSE),4),0) + IF(ISNUMBER(VLOOKUP("1.2",A6:Q98,6,FALSE)),ROUND(VLOOKUP("1.2",A6:Q98,6,FALSE),4),0)</f>
        <v>111267351.47</v>
      </c>
      <c r="G6" s="3">
        <f>IF(ISNUMBER(VLOOKUP("1.1",A6:Q98,7,FALSE)),ROUND(VLOOKUP("1.1",A6:Q98,7,FALSE),4),0) + IF(ISNUMBER(VLOOKUP("1.2",A6:Q98,7,FALSE)),ROUND(VLOOKUP("1.2",A6:Q98,7,FALSE),4),0)</f>
        <v>101987564.34999999</v>
      </c>
      <c r="H6" s="3">
        <f>IF(ISNUMBER(VLOOKUP("1.1",A6:Q98,8,FALSE)),ROUND(VLOOKUP("1.1",A6:Q98,8,FALSE),4),0) + IF(ISNUMBER(VLOOKUP("1.2",A6:Q98,8,FALSE)),ROUND(VLOOKUP("1.2",A6:Q98,8,FALSE),4),0)</f>
        <v>142113191.75</v>
      </c>
      <c r="I6" s="3">
        <f>IF(ISNUMBER(VLOOKUP("1.1",A6:Q98,9,FALSE)),ROUND(VLOOKUP("1.1",A6:Q98,9,FALSE),4),0) + IF(ISNUMBER(VLOOKUP("1.2",A6:Q98,9,FALSE)),ROUND(VLOOKUP("1.2",A6:Q98,9,FALSE),4),0)</f>
        <v>154253956.16</v>
      </c>
      <c r="J6" s="3">
        <f>IF(ISNUMBER(VLOOKUP("1.1",A6:Q98,10,FALSE)),ROUND(VLOOKUP("1.1",A6:Q98,10,FALSE),4),0) + IF(ISNUMBER(VLOOKUP("1.2",A6:Q98,10,FALSE)),ROUND(VLOOKUP("1.2",A6:Q98,10,FALSE),4),0)</f>
        <v>163025263.09</v>
      </c>
      <c r="K6" s="20">
        <v>164608324.55000001</v>
      </c>
      <c r="L6" s="20">
        <v>146348101</v>
      </c>
      <c r="M6" s="20">
        <v>146381849</v>
      </c>
      <c r="N6" s="20">
        <v>150130768</v>
      </c>
      <c r="O6" s="20">
        <v>153959140</v>
      </c>
      <c r="P6" s="20">
        <v>157798588</v>
      </c>
      <c r="Q6" s="20">
        <v>161566223</v>
      </c>
    </row>
    <row r="7" spans="1:17" ht="27.9" customHeight="1" x14ac:dyDescent="0.3">
      <c r="A7" s="1" t="s">
        <v>18</v>
      </c>
      <c r="B7" s="2" t="s">
        <v>19</v>
      </c>
      <c r="C7" s="3">
        <f>IF(ISNUMBER(VLOOKUP("1.1.1",A6:Q98,3,FALSE)),ROUND(VLOOKUP("1.1.1",A6:Q98,3,FALSE),4),0) + IF(ISNUMBER(VLOOKUP("1.1.2",A6:Q98,3,FALSE)),ROUND(VLOOKUP("1.1.2",A6:Q98,3,FALSE),4),0) + IF(ISNUMBER(VLOOKUP("1.1.3",A6:Q98,3,FALSE)),ROUND(VLOOKUP("1.1.3",A6:Q98,3,FALSE),4),0) + IF(ISNUMBER(VLOOKUP("1.1.4",A6:Q98,3,FALSE)),ROUND(VLOOKUP("1.1.4",A6:Q98,3,FALSE),4),0) + IF(ISNUMBER(VLOOKUP("1.1.5",A6:Q98,3,FALSE)),ROUND(VLOOKUP("1.1.5",A6:Q98,3,FALSE),4),0) + IF(ISNA(VLOOKUP("1.1.x",A6:Q98,3,FALSE)),0,ROUND(VLOOKUP("1.1.x",A6:Q98,3,FALSE),4))</f>
        <v>71772381.810000002</v>
      </c>
      <c r="D7" s="3">
        <f>IF(ISNUMBER(VLOOKUP("1.1.1",A6:Q98,4,FALSE)),ROUND(VLOOKUP("1.1.1",A6:Q98,4,FALSE),4),0) + IF(ISNUMBER(VLOOKUP("1.1.2",A6:Q98,4,FALSE)),ROUND(VLOOKUP("1.1.2",A6:Q98,4,FALSE),4),0) + IF(ISNUMBER(VLOOKUP("1.1.3",A6:Q98,4,FALSE)),ROUND(VLOOKUP("1.1.3",A6:Q98,4,FALSE),4),0) + IF(ISNUMBER(VLOOKUP("1.1.4",A6:Q98,4,FALSE)),ROUND(VLOOKUP("1.1.4",A6:Q98,4,FALSE),4),0) + IF(ISNUMBER(VLOOKUP("1.1.5",A6:Q98,4,FALSE)),ROUND(VLOOKUP("1.1.5",A6:Q98,4,FALSE),4),0) + IF(ISNA(VLOOKUP("1.1.x",A6:Q98,4,FALSE)),0,ROUND(VLOOKUP("1.1.x",A6:Q98,4,FALSE),4))</f>
        <v>79140717.480000004</v>
      </c>
      <c r="E7" s="3">
        <f>IF(ISNUMBER(VLOOKUP("1.1.1",A6:Q98,5,FALSE)),ROUND(VLOOKUP("1.1.1",A6:Q98,5,FALSE),4),0) + IF(ISNUMBER(VLOOKUP("1.1.2",A6:Q98,5,FALSE)),ROUND(VLOOKUP("1.1.2",A6:Q98,5,FALSE),4),0) + IF(ISNUMBER(VLOOKUP("1.1.3",A6:Q98,5,FALSE)),ROUND(VLOOKUP("1.1.3",A6:Q98,5,FALSE),4),0) + IF(ISNUMBER(VLOOKUP("1.1.4",A6:Q98,5,FALSE)),ROUND(VLOOKUP("1.1.4",A6:Q98,5,FALSE),4),0) + IF(ISNUMBER(VLOOKUP("1.1.5",A6:Q98,5,FALSE)),ROUND(VLOOKUP("1.1.5",A6:Q98,5,FALSE),4),0) + IF(ISNA(VLOOKUP("1.1.x",A6:Q98,5,FALSE)),0,ROUND(VLOOKUP("1.1.x",A6:Q98,5,FALSE),4))</f>
        <v>83346087.569999993</v>
      </c>
      <c r="F7" s="3">
        <f>IF(ISNUMBER(VLOOKUP("1.1.1",A6:Q98,6,FALSE)),ROUND(VLOOKUP("1.1.1",A6:Q98,6,FALSE),4),0) + IF(ISNUMBER(VLOOKUP("1.1.2",A6:Q98,6,FALSE)),ROUND(VLOOKUP("1.1.2",A6:Q98,6,FALSE),4),0) + IF(ISNUMBER(VLOOKUP("1.1.3",A6:Q98,6,FALSE)),ROUND(VLOOKUP("1.1.3",A6:Q98,6,FALSE),4),0) + IF(ISNUMBER(VLOOKUP("1.1.4",A6:Q98,6,FALSE)),ROUND(VLOOKUP("1.1.4",A6:Q98,6,FALSE),4),0) + IF(ISNUMBER(VLOOKUP("1.1.5",A6:Q98,6,FALSE)),ROUND(VLOOKUP("1.1.5",A6:Q98,6,FALSE),4),0) + IF(ISNA(VLOOKUP("1.1.x",A6:Q98,6,FALSE)),0,ROUND(VLOOKUP("1.1.x",A6:Q98,6,FALSE),4))</f>
        <v>93039984.660000011</v>
      </c>
      <c r="G7" s="3">
        <f>IF(ISNUMBER(VLOOKUP("1.1.1",A6:Q98,7,FALSE)),ROUND(VLOOKUP("1.1.1",A6:Q98,7,FALSE),4),0) + IF(ISNUMBER(VLOOKUP("1.1.2",A6:Q98,7,FALSE)),ROUND(VLOOKUP("1.1.2",A6:Q98,7,FALSE),4),0) + IF(ISNUMBER(VLOOKUP("1.1.3",A6:Q98,7,FALSE)),ROUND(VLOOKUP("1.1.3",A6:Q98,7,FALSE),4),0) + IF(ISNUMBER(VLOOKUP("1.1.4",A6:Q98,7,FALSE)),ROUND(VLOOKUP("1.1.4",A6:Q98,7,FALSE),4),0) + IF(ISNUMBER(VLOOKUP("1.1.5",A6:Q98,7,FALSE)),ROUND(VLOOKUP("1.1.5",A6:Q98,7,FALSE),4),0) + IF(ISNA(VLOOKUP("1.1.x",A6:Q98,7,FALSE)),0,ROUND(VLOOKUP("1.1.x",A6:Q98,7,FALSE),4))</f>
        <v>95048631.720000014</v>
      </c>
      <c r="H7" s="3">
        <f>IF(ISNUMBER(VLOOKUP("1.1.1",A6:Q98,8,FALSE)),ROUND(VLOOKUP("1.1.1",A6:Q98,8,FALSE),4),0) + IF(ISNUMBER(VLOOKUP("1.1.2",A6:Q98,8,FALSE)),ROUND(VLOOKUP("1.1.2",A6:Q98,8,FALSE),4),0) + IF(ISNUMBER(VLOOKUP("1.1.3",A6:Q98,8,FALSE)),ROUND(VLOOKUP("1.1.3",A6:Q98,8,FALSE),4),0) + IF(ISNUMBER(VLOOKUP("1.1.4",A6:Q98,8,FALSE)),ROUND(VLOOKUP("1.1.4",A6:Q98,8,FALSE),4),0) + IF(ISNUMBER(VLOOKUP("1.1.5",A6:Q98,8,FALSE)),ROUND(VLOOKUP("1.1.5",A6:Q98,8,FALSE),4),0) + IF(ISNA(VLOOKUP("1.1.x",A6:Q98,8,FALSE)),0,ROUND(VLOOKUP("1.1.x",A6:Q98,8,FALSE),4))</f>
        <v>127064881.03999999</v>
      </c>
      <c r="I7" s="3">
        <f>IF(ISNUMBER(VLOOKUP("1.1.1",A6:Q98,9,FALSE)),ROUND(VLOOKUP("1.1.1",A6:Q98,9,FALSE),4),0) + IF(ISNUMBER(VLOOKUP("1.1.2",A6:Q98,9,FALSE)),ROUND(VLOOKUP("1.1.2",A6:Q98,9,FALSE),4),0) + IF(ISNUMBER(VLOOKUP("1.1.3",A6:Q98,9,FALSE)),ROUND(VLOOKUP("1.1.3",A6:Q98,9,FALSE),4),0) + IF(ISNUMBER(VLOOKUP("1.1.4",A6:Q98,9,FALSE)),ROUND(VLOOKUP("1.1.4",A6:Q98,9,FALSE),4),0) + IF(ISNUMBER(VLOOKUP("1.1.5",A6:Q98,9,FALSE)),ROUND(VLOOKUP("1.1.5",A6:Q98,9,FALSE),4),0) + IF(ISNA(VLOOKUP("1.1.x",A6:Q98,9,FALSE)),0,ROUND(VLOOKUP("1.1.x",A6:Q98,9,FALSE),4))</f>
        <v>134647990.16</v>
      </c>
      <c r="J7" s="3">
        <f>IF(ISNUMBER(VLOOKUP("1.1.1",A6:Q98,10,FALSE)),ROUND(VLOOKUP("1.1.1",A6:Q98,10,FALSE),4),0) + IF(ISNUMBER(VLOOKUP("1.1.2",A6:Q98,10,FALSE)),ROUND(VLOOKUP("1.1.2",A6:Q98,10,FALSE),4),0) + IF(ISNUMBER(VLOOKUP("1.1.3",A6:Q98,10,FALSE)),ROUND(VLOOKUP("1.1.3",A6:Q98,10,FALSE),4),0) + IF(ISNUMBER(VLOOKUP("1.1.4",A6:Q98,10,FALSE)),ROUND(VLOOKUP("1.1.4",A6:Q98,10,FALSE),4),0) + IF(ISNUMBER(VLOOKUP("1.1.5",A6:Q98,10,FALSE)),ROUND(VLOOKUP("1.1.5",A6:Q98,10,FALSE),4),0) + IF(ISNA(VLOOKUP("1.1.x",A6:Q98,10,FALSE)),0,ROUND(VLOOKUP("1.1.x",A6:Q98,10,FALSE),4))</f>
        <v>143368000.11000001</v>
      </c>
      <c r="K7" s="20">
        <v>146046576.54999998</v>
      </c>
      <c r="L7" s="20">
        <v>142142216</v>
      </c>
      <c r="M7" s="20">
        <v>146263849</v>
      </c>
      <c r="N7" s="20">
        <v>150075768</v>
      </c>
      <c r="O7" s="20">
        <v>153959140</v>
      </c>
      <c r="P7" s="20">
        <v>157798588</v>
      </c>
      <c r="Q7" s="20">
        <v>161566223</v>
      </c>
    </row>
    <row r="8" spans="1:17" ht="27.9" customHeight="1" x14ac:dyDescent="0.3">
      <c r="A8" s="4" t="s">
        <v>20</v>
      </c>
      <c r="B8" s="5" t="s">
        <v>21</v>
      </c>
      <c r="C8" s="6">
        <v>8989043</v>
      </c>
      <c r="D8" s="6">
        <v>8641304</v>
      </c>
      <c r="E8" s="6">
        <v>9732422</v>
      </c>
      <c r="F8" s="6">
        <v>14188319.199999999</v>
      </c>
      <c r="G8" s="6">
        <v>7802506</v>
      </c>
      <c r="H8" s="6">
        <v>11759824</v>
      </c>
      <c r="I8" s="6">
        <v>34224781.469999999</v>
      </c>
      <c r="J8" s="6">
        <v>34224781.469999999</v>
      </c>
      <c r="K8" s="21">
        <v>37196051</v>
      </c>
      <c r="L8" s="21">
        <v>38237540</v>
      </c>
      <c r="M8" s="21">
        <v>39269954</v>
      </c>
      <c r="N8" s="21">
        <v>40290973</v>
      </c>
      <c r="O8" s="21">
        <v>41338538</v>
      </c>
      <c r="P8" s="21">
        <v>42372001</v>
      </c>
      <c r="Q8" s="21">
        <v>43388929</v>
      </c>
    </row>
    <row r="9" spans="1:17" ht="27.9" customHeight="1" x14ac:dyDescent="0.3">
      <c r="A9" s="4" t="s">
        <v>22</v>
      </c>
      <c r="B9" s="5" t="s">
        <v>23</v>
      </c>
      <c r="C9" s="6">
        <v>177334.83</v>
      </c>
      <c r="D9" s="6">
        <v>189437.1</v>
      </c>
      <c r="E9" s="6">
        <v>307143.7</v>
      </c>
      <c r="F9" s="6">
        <v>250442.97</v>
      </c>
      <c r="G9" s="6">
        <v>398200</v>
      </c>
      <c r="H9" s="6">
        <v>532426</v>
      </c>
      <c r="I9" s="6">
        <v>3125778.17</v>
      </c>
      <c r="J9" s="6">
        <v>3125778.17</v>
      </c>
      <c r="K9" s="21">
        <v>4042673</v>
      </c>
      <c r="L9" s="21">
        <v>4155868</v>
      </c>
      <c r="M9" s="21">
        <v>4268076</v>
      </c>
      <c r="N9" s="21">
        <v>4379046</v>
      </c>
      <c r="O9" s="21">
        <v>4492901</v>
      </c>
      <c r="P9" s="21">
        <v>4605224</v>
      </c>
      <c r="Q9" s="21">
        <v>4715749</v>
      </c>
    </row>
    <row r="10" spans="1:17" ht="27.9" customHeight="1" x14ac:dyDescent="0.3">
      <c r="A10" s="4" t="s">
        <v>24</v>
      </c>
      <c r="B10" s="5" t="s">
        <v>25</v>
      </c>
      <c r="C10" s="6">
        <v>38748657</v>
      </c>
      <c r="D10" s="6">
        <v>44019401</v>
      </c>
      <c r="E10" s="6">
        <v>45191319</v>
      </c>
      <c r="F10" s="6">
        <v>45065042</v>
      </c>
      <c r="G10" s="6">
        <v>51782722.950000003</v>
      </c>
      <c r="H10" s="6">
        <v>71861957</v>
      </c>
      <c r="I10" s="6">
        <v>56586302.950000003</v>
      </c>
      <c r="J10" s="6">
        <v>57643909.950000003</v>
      </c>
      <c r="K10" s="21">
        <v>58260068</v>
      </c>
      <c r="L10" s="21">
        <v>59891350</v>
      </c>
      <c r="M10" s="21">
        <v>61508416</v>
      </c>
      <c r="N10" s="21">
        <v>63107635</v>
      </c>
      <c r="O10" s="21">
        <v>64748434</v>
      </c>
      <c r="P10" s="21">
        <v>66367145</v>
      </c>
      <c r="Q10" s="21">
        <v>67959956</v>
      </c>
    </row>
    <row r="11" spans="1:17" ht="27.9" customHeight="1" x14ac:dyDescent="0.3">
      <c r="A11" s="4" t="s">
        <v>26</v>
      </c>
      <c r="B11" s="5" t="s">
        <v>27</v>
      </c>
      <c r="C11" s="6">
        <v>13597429.800000001</v>
      </c>
      <c r="D11" s="6">
        <v>15805369.98</v>
      </c>
      <c r="E11" s="6">
        <v>16941434.190000001</v>
      </c>
      <c r="F11" s="6">
        <v>19092994.850000001</v>
      </c>
      <c r="G11" s="6">
        <v>19074119.370000001</v>
      </c>
      <c r="H11" s="6">
        <v>25049870.289999999</v>
      </c>
      <c r="I11" s="6">
        <v>22555277.16</v>
      </c>
      <c r="J11" s="6">
        <v>28484949.190000001</v>
      </c>
      <c r="K11" s="21">
        <v>27699830.350000001</v>
      </c>
      <c r="L11" s="21">
        <v>22546174</v>
      </c>
      <c r="M11" s="21">
        <v>23099630</v>
      </c>
      <c r="N11" s="21">
        <v>23700220</v>
      </c>
      <c r="O11" s="21">
        <v>24316426</v>
      </c>
      <c r="P11" s="21">
        <v>24924337</v>
      </c>
      <c r="Q11" s="21">
        <v>25522521</v>
      </c>
    </row>
    <row r="12" spans="1:17" ht="27.9" customHeight="1" x14ac:dyDescent="0.3">
      <c r="A12" s="4" t="s">
        <v>28</v>
      </c>
      <c r="B12" s="5" t="s">
        <v>29</v>
      </c>
      <c r="C12" s="6">
        <v>10259917.18</v>
      </c>
      <c r="D12" s="6">
        <v>10485205.4</v>
      </c>
      <c r="E12" s="6">
        <v>11173768.68</v>
      </c>
      <c r="F12" s="6">
        <v>14443185.640000001</v>
      </c>
      <c r="G12" s="6">
        <v>15991083.4</v>
      </c>
      <c r="H12" s="6">
        <v>17860803.75</v>
      </c>
      <c r="I12" s="6">
        <v>18155850.41</v>
      </c>
      <c r="J12" s="6">
        <v>19888581.329999998</v>
      </c>
      <c r="K12" s="21">
        <v>18847954.199999999</v>
      </c>
      <c r="L12" s="21">
        <v>17311284</v>
      </c>
      <c r="M12" s="21">
        <v>18117773</v>
      </c>
      <c r="N12" s="21">
        <v>18597894</v>
      </c>
      <c r="O12" s="21">
        <v>19062841</v>
      </c>
      <c r="P12" s="21">
        <v>19529881</v>
      </c>
      <c r="Q12" s="21">
        <v>19979068</v>
      </c>
    </row>
    <row r="13" spans="1:17" ht="27.9" customHeight="1" x14ac:dyDescent="0.3">
      <c r="A13" s="4" t="s">
        <v>30</v>
      </c>
      <c r="B13" s="5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</row>
    <row r="14" spans="1:17" ht="27.9" customHeight="1" x14ac:dyDescent="0.3">
      <c r="A14" s="1" t="s">
        <v>33</v>
      </c>
      <c r="B14" s="2" t="s">
        <v>34</v>
      </c>
      <c r="C14" s="3">
        <f>IF(ISNUMBER(VLOOKUP("1.2.1",A6:Q98,3,FALSE)),ROUND(VLOOKUP("1.2.1",A6:Q98,3,FALSE),4),0) + IF(ISNUMBER(VLOOKUP("1.2.2",A6:Q98,3,FALSE)),ROUND(VLOOKUP("1.2.2",A6:Q98,3,FALSE),4),0) + IF(ISNUMBER(VLOOKUP("1.2.x",A6:Q98,3,FALSE)),ROUND(VLOOKUP("1.2.x",A6:Q98,3,FALSE),4),0)</f>
        <v>1623156.73</v>
      </c>
      <c r="D14" s="3">
        <f>IF(ISNUMBER(VLOOKUP("1.2.1",A6:Q98,4,FALSE)),ROUND(VLOOKUP("1.2.1",A6:Q98,4,FALSE),4),0) + IF(ISNUMBER(VLOOKUP("1.2.2",A6:Q98,4,FALSE)),ROUND(VLOOKUP("1.2.2",A6:Q98,4,FALSE),4),0) + IF(ISNUMBER(VLOOKUP("1.2.x",A6:Q98,4,FALSE)),ROUND(VLOOKUP("1.2.x",A6:Q98,4,FALSE),4),0)</f>
        <v>7166005.75</v>
      </c>
      <c r="E14" s="3">
        <f>IF(ISNUMBER(VLOOKUP("1.2.1",A6:Q98,5,FALSE)),ROUND(VLOOKUP("1.2.1",A6:Q98,5,FALSE),4),0) + IF(ISNUMBER(VLOOKUP("1.2.2",A6:Q98,5,FALSE)),ROUND(VLOOKUP("1.2.2",A6:Q98,5,FALSE),4),0) + IF(ISNUMBER(VLOOKUP("1.2.x",A6:Q98,5,FALSE)),ROUND(VLOOKUP("1.2.x",A6:Q98,5,FALSE),4),0)</f>
        <v>3698888.86</v>
      </c>
      <c r="F14" s="3">
        <f>IF(ISNUMBER(VLOOKUP("1.2.1",A6:Q98,6,FALSE)),ROUND(VLOOKUP("1.2.1",A6:Q98,6,FALSE),4),0) + IF(ISNUMBER(VLOOKUP("1.2.2",A6:Q98,6,FALSE)),ROUND(VLOOKUP("1.2.2",A6:Q98,6,FALSE),4),0) + IF(ISNUMBER(VLOOKUP("1.2.x",A6:Q98,6,FALSE)),ROUND(VLOOKUP("1.2.x",A6:Q98,6,FALSE),4),0)</f>
        <v>18227366.809999999</v>
      </c>
      <c r="G14" s="3">
        <f>IF(ISNUMBER(VLOOKUP("1.2.1",A6:Q98,7,FALSE)),ROUND(VLOOKUP("1.2.1",A6:Q98,7,FALSE),4),0) + IF(ISNUMBER(VLOOKUP("1.2.2",A6:Q98,7,FALSE)),ROUND(VLOOKUP("1.2.2",A6:Q98,7,FALSE),4),0) + IF(ISNUMBER(VLOOKUP("1.2.x",A6:Q98,7,FALSE)),ROUND(VLOOKUP("1.2.x",A6:Q98,7,FALSE),4),0)</f>
        <v>6938932.6299999999</v>
      </c>
      <c r="H14" s="3">
        <f>IF(ISNUMBER(VLOOKUP("1.2.1",A6:Q98,8,FALSE)),ROUND(VLOOKUP("1.2.1",A6:Q98,8,FALSE),4),0) + IF(ISNUMBER(VLOOKUP("1.2.2",A6:Q98,8,FALSE)),ROUND(VLOOKUP("1.2.2",A6:Q98,8,FALSE),4),0) + IF(ISNUMBER(VLOOKUP("1.2.x",A6:Q98,8,FALSE)),ROUND(VLOOKUP("1.2.x",A6:Q98,8,FALSE),4),0)</f>
        <v>15048310.709999999</v>
      </c>
      <c r="I14" s="3">
        <f>IF(ISNUMBER(VLOOKUP("1.2.1",A6:Q98,9,FALSE)),ROUND(VLOOKUP("1.2.1",A6:Q98,9,FALSE),4),0) + IF(ISNUMBER(VLOOKUP("1.2.2",A6:Q98,9,FALSE)),ROUND(VLOOKUP("1.2.2",A6:Q98,9,FALSE),4),0) + IF(ISNUMBER(VLOOKUP("1.2.x",A6:Q98,9,FALSE)),ROUND(VLOOKUP("1.2.x",A6:Q98,9,FALSE),4),0)</f>
        <v>19605966</v>
      </c>
      <c r="J14" s="3">
        <f>IF(ISNUMBER(VLOOKUP("1.2.1",A6:Q98,10,FALSE)),ROUND(VLOOKUP("1.2.1",A6:Q98,10,FALSE),4),0) + IF(ISNUMBER(VLOOKUP("1.2.2",A6:Q98,10,FALSE)),ROUND(VLOOKUP("1.2.2",A6:Q98,10,FALSE),4),0) + IF(ISNUMBER(VLOOKUP("1.2.x",A6:Q98,10,FALSE)),ROUND(VLOOKUP("1.2.x",A6:Q98,10,FALSE),4),0)</f>
        <v>19657262.98</v>
      </c>
      <c r="K14" s="20">
        <v>18561748</v>
      </c>
      <c r="L14" s="20">
        <v>4205885</v>
      </c>
      <c r="M14" s="20">
        <v>118000</v>
      </c>
      <c r="N14" s="20">
        <v>55000</v>
      </c>
      <c r="O14" s="20">
        <v>0</v>
      </c>
      <c r="P14" s="20">
        <v>0</v>
      </c>
      <c r="Q14" s="20">
        <v>0</v>
      </c>
    </row>
    <row r="15" spans="1:17" ht="27.9" customHeight="1" x14ac:dyDescent="0.3">
      <c r="A15" s="4" t="s">
        <v>35</v>
      </c>
      <c r="B15" s="5" t="s">
        <v>36</v>
      </c>
      <c r="C15" s="6">
        <v>135030.9</v>
      </c>
      <c r="D15" s="6">
        <v>222792.2</v>
      </c>
      <c r="E15" s="6">
        <v>121550</v>
      </c>
      <c r="F15" s="6">
        <v>88881.66</v>
      </c>
      <c r="G15" s="6">
        <v>250970.91</v>
      </c>
      <c r="H15" s="6">
        <v>264072.43</v>
      </c>
      <c r="I15" s="6">
        <v>292417</v>
      </c>
      <c r="J15" s="6">
        <v>357403.93</v>
      </c>
      <c r="K15" s="21">
        <v>292417</v>
      </c>
      <c r="L15" s="21">
        <v>263348</v>
      </c>
      <c r="M15" s="21">
        <v>118000</v>
      </c>
      <c r="N15" s="21">
        <v>55000</v>
      </c>
      <c r="O15" s="21">
        <v>0</v>
      </c>
      <c r="P15" s="21">
        <v>0</v>
      </c>
      <c r="Q15" s="21">
        <v>0</v>
      </c>
    </row>
    <row r="16" spans="1:17" ht="27.9" customHeight="1" x14ac:dyDescent="0.3">
      <c r="A16" s="4" t="s">
        <v>37</v>
      </c>
      <c r="B16" s="5" t="s">
        <v>38</v>
      </c>
      <c r="C16" s="6">
        <v>1488125.83</v>
      </c>
      <c r="D16" s="6">
        <v>6943213.5499999998</v>
      </c>
      <c r="E16" s="6">
        <v>3577338.86</v>
      </c>
      <c r="F16" s="6">
        <v>18138485.149999999</v>
      </c>
      <c r="G16" s="6">
        <v>6687961.7199999997</v>
      </c>
      <c r="H16" s="6">
        <v>14784238.279999999</v>
      </c>
      <c r="I16" s="6">
        <v>19313549</v>
      </c>
      <c r="J16" s="6">
        <v>19299859.050000001</v>
      </c>
      <c r="K16" s="21">
        <v>18269331</v>
      </c>
      <c r="L16" s="21">
        <v>3942537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</row>
    <row r="17" spans="1:17" ht="27.9" customHeight="1" x14ac:dyDescent="0.3">
      <c r="A17" s="1" t="s">
        <v>39</v>
      </c>
      <c r="B17" s="2" t="s">
        <v>40</v>
      </c>
      <c r="C17" s="3">
        <f>IF(ISNUMBER(VLOOKUP("2.1",A6:Q98,3,FALSE)),ROUND(VLOOKUP("2.1",A6:Q98,3,FALSE),4),0) + IF(ISNUMBER(VLOOKUP("2.2",A6:Q98,3,FALSE)),ROUND(VLOOKUP("2.2",A6:Q98,3,FALSE),4),0)</f>
        <v>47691610.480000004</v>
      </c>
      <c r="D17" s="3">
        <f>IF(ISNUMBER(VLOOKUP("2.1",A6:Q98,4,FALSE)),ROUND(VLOOKUP("2.1",A6:Q98,4,FALSE),4),0) + IF(ISNUMBER(VLOOKUP("2.2",A6:Q98,4,FALSE)),ROUND(VLOOKUP("2.2",A6:Q98,4,FALSE),4),0)</f>
        <v>52963649.119999997</v>
      </c>
      <c r="E17" s="3">
        <f>IF(ISNUMBER(VLOOKUP("2.1",A6:Q98,5,FALSE)),ROUND(VLOOKUP("2.1",A6:Q98,5,FALSE),4),0) + IF(ISNUMBER(VLOOKUP("2.2",A6:Q98,5,FALSE)),ROUND(VLOOKUP("2.2",A6:Q98,5,FALSE),4),0)</f>
        <v>56932585.25</v>
      </c>
      <c r="F17" s="3">
        <f>IF(ISNUMBER(VLOOKUP("2.1",A6:Q98,6,FALSE)),ROUND(VLOOKUP("2.1",A6:Q98,6,FALSE),4),0) + IF(ISNUMBER(VLOOKUP("2.2",A6:Q98,6,FALSE)),ROUND(VLOOKUP("2.2",A6:Q98,6,FALSE),4),0)</f>
        <v>76832763.189999998</v>
      </c>
      <c r="G17" s="3">
        <f>IF(ISNUMBER(VLOOKUP("2.1",A6:Q98,7,FALSE)),ROUND(VLOOKUP("2.1",A6:Q98,7,FALSE),4),0) + IF(ISNUMBER(VLOOKUP("2.2",A6:Q98,7,FALSE)),ROUND(VLOOKUP("2.2",A6:Q98,7,FALSE),4),0)</f>
        <v>76025271.319999993</v>
      </c>
      <c r="H17" s="3">
        <f>IF(ISNUMBER(VLOOKUP("2.1",A6:Q98,8,FALSE)),ROUND(VLOOKUP("2.1",A6:Q98,8,FALSE),4),0) + IF(ISNUMBER(VLOOKUP("2.2",A6:Q98,8,FALSE)),ROUND(VLOOKUP("2.2",A6:Q98,8,FALSE),4),0)</f>
        <v>99920078.799999997</v>
      </c>
      <c r="I17" s="3">
        <f>IF(ISNUMBER(VLOOKUP("2.1",A6:Q98,9,FALSE)),ROUND(VLOOKUP("2.1",A6:Q98,9,FALSE),4),0) + IF(ISNUMBER(VLOOKUP("2.2",A6:Q98,9,FALSE)),ROUND(VLOOKUP("2.2",A6:Q98,9,FALSE),4),0)</f>
        <v>107951455.34999999</v>
      </c>
      <c r="J17" s="3">
        <f>IF(ISNUMBER(VLOOKUP("2.1",A6:Q98,10,FALSE)),ROUND(VLOOKUP("2.1",A6:Q98,10,FALSE),4),0) + IF(ISNUMBER(VLOOKUP("2.2",A6:Q98,10,FALSE)),ROUND(VLOOKUP("2.2",A6:Q98,10,FALSE),4),0)</f>
        <v>107674860.37</v>
      </c>
      <c r="K17" s="20">
        <v>165007373.55000001</v>
      </c>
      <c r="L17" s="20">
        <v>144863101</v>
      </c>
      <c r="M17" s="20">
        <v>145006849</v>
      </c>
      <c r="N17" s="20">
        <v>148755768</v>
      </c>
      <c r="O17" s="20">
        <v>152584140</v>
      </c>
      <c r="P17" s="20">
        <v>156548588</v>
      </c>
      <c r="Q17" s="20">
        <v>160316223</v>
      </c>
    </row>
    <row r="18" spans="1:17" ht="27.9" customHeight="1" x14ac:dyDescent="0.3">
      <c r="A18" s="1" t="s">
        <v>41</v>
      </c>
      <c r="B18" s="2" t="s">
        <v>42</v>
      </c>
      <c r="C18" s="3">
        <f>IF(ISNUMBER(VLOOKUP("2.1.1",A6:Q98,3,FALSE)),ROUND(VLOOKUP("2.1.1",A6:Q98,3,FALSE),4),0) + IF(ISNUMBER(VLOOKUP("2.1.2",A6:Q98,3,FALSE)),ROUND(VLOOKUP("2.1.2",A6:Q98,3,FALSE),4),0) + IF(ISNUMBER(VLOOKUP("2.1.3",A6:Q98,3,FALSE)),ROUND(VLOOKUP("2.1.3",A6:Q98,3,FALSE),4),0) + IF(ISNUMBER(VLOOKUP("2.1.x",A6:Q98,3,FALSE)),ROUND(VLOOKUP("2.1.x",A6:Q98,3,FALSE),4),0)</f>
        <v>42108560.200000003</v>
      </c>
      <c r="D18" s="3">
        <f>IF(ISNUMBER(VLOOKUP("2.1.1",A6:Q98,4,FALSE)),ROUND(VLOOKUP("2.1.1",A6:Q98,4,FALSE),4),0) + IF(ISNUMBER(VLOOKUP("2.1.2",A6:Q98,4,FALSE)),ROUND(VLOOKUP("2.1.2",A6:Q98,4,FALSE),4),0) + IF(ISNUMBER(VLOOKUP("2.1.3",A6:Q98,4,FALSE)),ROUND(VLOOKUP("2.1.3",A6:Q98,4,FALSE),4),0) + IF(ISNUMBER(VLOOKUP("2.1.x",A6:Q98,4,FALSE)),ROUND(VLOOKUP("2.1.x",A6:Q98,4,FALSE),4),0)</f>
        <v>46224561.469999999</v>
      </c>
      <c r="E18" s="3">
        <f>IF(ISNUMBER(VLOOKUP("2.1.1",A6:Q98,5,FALSE)),ROUND(VLOOKUP("2.1.1",A6:Q98,5,FALSE),4),0) + IF(ISNUMBER(VLOOKUP("2.1.2",A6:Q98,5,FALSE)),ROUND(VLOOKUP("2.1.2",A6:Q98,5,FALSE),4),0) + IF(ISNUMBER(VLOOKUP("2.1.3",A6:Q98,5,FALSE)),ROUND(VLOOKUP("2.1.3",A6:Q98,5,FALSE),4),0) + IF(ISNUMBER(VLOOKUP("2.1.x",A6:Q98,5,FALSE)),ROUND(VLOOKUP("2.1.x",A6:Q98,5,FALSE),4),0)</f>
        <v>49821170.919999994</v>
      </c>
      <c r="F18" s="3">
        <f>IF(ISNUMBER(VLOOKUP("2.1.1",A6:Q98,6,FALSE)),ROUND(VLOOKUP("2.1.1",A6:Q98,6,FALSE),4),0) + IF(ISNUMBER(VLOOKUP("2.1.2",A6:Q98,6,FALSE)),ROUND(VLOOKUP("2.1.2",A6:Q98,6,FALSE),4),0) + IF(ISNUMBER(VLOOKUP("2.1.3",A6:Q98,6,FALSE)),ROUND(VLOOKUP("2.1.3",A6:Q98,6,FALSE),4),0) + IF(ISNUMBER(VLOOKUP("2.1.x",A6:Q98,6,FALSE)),ROUND(VLOOKUP("2.1.x",A6:Q98,6,FALSE),4),0)</f>
        <v>53442898.190000005</v>
      </c>
      <c r="G18" s="3">
        <f>IF(ISNUMBER(VLOOKUP("2.1.1",A6:Q98,7,FALSE)),ROUND(VLOOKUP("2.1.1",A6:Q98,7,FALSE),4),0) + IF(ISNUMBER(VLOOKUP("2.1.2",A6:Q98,7,FALSE)),ROUND(VLOOKUP("2.1.2",A6:Q98,7,FALSE),4),0) + IF(ISNUMBER(VLOOKUP("2.1.3",A6:Q98,7,FALSE)),ROUND(VLOOKUP("2.1.3",A6:Q98,7,FALSE),4),0) + IF(ISNUMBER(VLOOKUP("2.1.x",A6:Q98,7,FALSE)),ROUND(VLOOKUP("2.1.x",A6:Q98,7,FALSE),4),0)</f>
        <v>60229664.390000001</v>
      </c>
      <c r="H18" s="3">
        <f>IF(ISNUMBER(VLOOKUP("2.1.1",A6:Q98,8,FALSE)),ROUND(VLOOKUP("2.1.1",A6:Q98,8,FALSE),4),0) + IF(ISNUMBER(VLOOKUP("2.1.2",A6:Q98,8,FALSE)),ROUND(VLOOKUP("2.1.2",A6:Q98,8,FALSE),4),0) + IF(ISNUMBER(VLOOKUP("2.1.3",A6:Q98,8,FALSE)),ROUND(VLOOKUP("2.1.3",A6:Q98,8,FALSE),4),0) + IF(ISNUMBER(VLOOKUP("2.1.x",A6:Q98,8,FALSE)),ROUND(VLOOKUP("2.1.x",A6:Q98,8,FALSE),4),0)</f>
        <v>75206815.739999995</v>
      </c>
      <c r="I18" s="3">
        <f>IF(ISNUMBER(VLOOKUP("2.1.1",A6:Q98,9,FALSE)),ROUND(VLOOKUP("2.1.1",A6:Q98,9,FALSE),4),0) + IF(ISNUMBER(VLOOKUP("2.1.2",A6:Q98,9,FALSE)),ROUND(VLOOKUP("2.1.2",A6:Q98,9,FALSE),4),0) + IF(ISNUMBER(VLOOKUP("2.1.3",A6:Q98,9,FALSE)),ROUND(VLOOKUP("2.1.3",A6:Q98,9,FALSE),4),0) + IF(ISNUMBER(VLOOKUP("2.1.x",A6:Q98,9,FALSE)),ROUND(VLOOKUP("2.1.x",A6:Q98,9,FALSE),4),0)</f>
        <v>82256724.349999994</v>
      </c>
      <c r="J18" s="3">
        <f>IF(ISNUMBER(VLOOKUP("2.1.1",A6:Q98,10,FALSE)),ROUND(VLOOKUP("2.1.1",A6:Q98,10,FALSE),4),0) + IF(ISNUMBER(VLOOKUP("2.1.2",A6:Q98,10,FALSE)),ROUND(VLOOKUP("2.1.2",A6:Q98,10,FALSE),4),0) + IF(ISNUMBER(VLOOKUP("2.1.3",A6:Q98,10,FALSE)),ROUND(VLOOKUP("2.1.3",A6:Q98,10,FALSE),4),0) + IF(ISNUMBER(VLOOKUP("2.1.x",A6:Q98,10,FALSE)),ROUND(VLOOKUP("2.1.x",A6:Q98,10,FALSE),4),0)</f>
        <v>82043430.019999996</v>
      </c>
      <c r="K18" s="20">
        <v>136308020.55000001</v>
      </c>
      <c r="L18" s="20">
        <v>133917605</v>
      </c>
      <c r="M18" s="20">
        <v>137341772</v>
      </c>
      <c r="N18" s="20">
        <v>140788878</v>
      </c>
      <c r="O18" s="20">
        <v>144328469</v>
      </c>
      <c r="P18" s="20">
        <v>147818930</v>
      </c>
      <c r="Q18" s="20">
        <v>151261784</v>
      </c>
    </row>
    <row r="19" spans="1:17" ht="27.9" customHeight="1" x14ac:dyDescent="0.3">
      <c r="A19" s="4" t="s">
        <v>43</v>
      </c>
      <c r="B19" s="5" t="s">
        <v>44</v>
      </c>
      <c r="C19" s="6">
        <v>41876718.600000001</v>
      </c>
      <c r="D19" s="6">
        <v>46107373.159999996</v>
      </c>
      <c r="E19" s="6">
        <v>49748776.869999997</v>
      </c>
      <c r="F19" s="6">
        <v>53151218.770000003</v>
      </c>
      <c r="G19" s="6">
        <v>59740482.469999999</v>
      </c>
      <c r="H19" s="6">
        <v>74587704.640000001</v>
      </c>
      <c r="I19" s="6">
        <v>81358324.349999994</v>
      </c>
      <c r="J19" s="6">
        <v>81408515.859999999</v>
      </c>
      <c r="K19" s="21">
        <v>82800867</v>
      </c>
      <c r="L19" s="21">
        <v>83926674</v>
      </c>
      <c r="M19" s="21">
        <v>86192694</v>
      </c>
      <c r="N19" s="21">
        <v>88433704</v>
      </c>
      <c r="O19" s="21">
        <v>90732980</v>
      </c>
      <c r="P19" s="21">
        <v>93001304</v>
      </c>
      <c r="Q19" s="21">
        <v>95233335</v>
      </c>
    </row>
    <row r="20" spans="1:17" ht="27.9" customHeight="1" x14ac:dyDescent="0.3">
      <c r="A20" s="4" t="s">
        <v>45</v>
      </c>
      <c r="B20" s="5" t="s">
        <v>46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</row>
    <row r="21" spans="1:17" ht="27.9" customHeight="1" x14ac:dyDescent="0.3">
      <c r="A21" s="4" t="s">
        <v>47</v>
      </c>
      <c r="B21" s="5" t="s">
        <v>48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</row>
    <row r="22" spans="1:17" ht="27.9" customHeight="1" x14ac:dyDescent="0.3">
      <c r="A22" s="4" t="s">
        <v>49</v>
      </c>
      <c r="B22" s="5" t="s">
        <v>50</v>
      </c>
      <c r="C22" s="7">
        <v>231841.6</v>
      </c>
      <c r="D22" s="7">
        <v>117188.31</v>
      </c>
      <c r="E22" s="7">
        <v>72394.05</v>
      </c>
      <c r="F22" s="7">
        <v>291679.42</v>
      </c>
      <c r="G22" s="7">
        <v>489181.92</v>
      </c>
      <c r="H22" s="7">
        <v>619111.1</v>
      </c>
      <c r="I22" s="7">
        <v>898400</v>
      </c>
      <c r="J22" s="7">
        <v>634914.16</v>
      </c>
      <c r="K22" s="22">
        <v>773600</v>
      </c>
      <c r="L22" s="22">
        <v>648800</v>
      </c>
      <c r="M22" s="22">
        <v>530000</v>
      </c>
      <c r="N22" s="22">
        <v>420000</v>
      </c>
      <c r="O22" s="22">
        <v>310000</v>
      </c>
      <c r="P22" s="22">
        <v>200000</v>
      </c>
      <c r="Q22" s="22">
        <v>100000</v>
      </c>
    </row>
    <row r="23" spans="1:17" ht="60.75" customHeight="1" x14ac:dyDescent="0.3">
      <c r="A23" s="4" t="s">
        <v>51</v>
      </c>
      <c r="B23" s="5" t="s">
        <v>52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</row>
    <row r="24" spans="1:17" ht="42" customHeight="1" x14ac:dyDescent="0.3">
      <c r="A24" s="4" t="s">
        <v>53</v>
      </c>
      <c r="B24" s="5" t="s">
        <v>54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</row>
    <row r="25" spans="1:17" ht="35.1" customHeight="1" x14ac:dyDescent="0.3">
      <c r="A25" s="4" t="s">
        <v>55</v>
      </c>
      <c r="B25" s="5" t="s">
        <v>56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</row>
    <row r="26" spans="1:17" ht="27.9" customHeight="1" x14ac:dyDescent="0.3">
      <c r="A26" s="1" t="s">
        <v>57</v>
      </c>
      <c r="B26" s="2" t="s">
        <v>58</v>
      </c>
      <c r="C26" s="3">
        <f>IF(ISNUMBER(VLOOKUP("2.2.1",A6:Q98,3,FALSE)),ROUND(VLOOKUP("2.2.1",A6:Q98,3,FALSE),4),0) + IF(ISNUMBER(VLOOKUP("2.2.x",A6:Q98,3,FALSE)),ROUND(VLOOKUP("2.2.x",A6:Q98,3,FALSE),4),0)</f>
        <v>5583050.2800000003</v>
      </c>
      <c r="D26" s="3">
        <f>IF(ISNUMBER(VLOOKUP("2.2.1",A6:Q98,4,FALSE)),ROUND(VLOOKUP("2.2.1",A6:Q98,4,FALSE),4),0) + IF(ISNUMBER(VLOOKUP("2.2.x",A6:Q98,4,FALSE)),ROUND(VLOOKUP("2.2.x",A6:Q98,4,FALSE),4),0)</f>
        <v>6739087.6500000004</v>
      </c>
      <c r="E26" s="3">
        <f>IF(ISNUMBER(VLOOKUP("2.2.1",A6:Q98,5,FALSE)),ROUND(VLOOKUP("2.2.1",A6:Q98,5,FALSE),4),0) + IF(ISNUMBER(VLOOKUP("2.2.x",A6:Q98,5,FALSE)),ROUND(VLOOKUP("2.2.x",A6:Q98,5,FALSE),4),0)</f>
        <v>7111414.3300000001</v>
      </c>
      <c r="F26" s="3">
        <f>IF(ISNUMBER(VLOOKUP("2.2.1",A6:Q98,6,FALSE)),ROUND(VLOOKUP("2.2.1",A6:Q98,6,FALSE),4),0) + IF(ISNUMBER(VLOOKUP("2.2.x",A6:Q98,6,FALSE)),ROUND(VLOOKUP("2.2.x",A6:Q98,6,FALSE),4),0)</f>
        <v>23389865</v>
      </c>
      <c r="G26" s="3">
        <f>IF(ISNUMBER(VLOOKUP("2.2.1",A6:Q98,7,FALSE)),ROUND(VLOOKUP("2.2.1",A6:Q98,7,FALSE),4),0) + IF(ISNUMBER(VLOOKUP("2.2.x",A6:Q98,7,FALSE)),ROUND(VLOOKUP("2.2.x",A6:Q98,7,FALSE),4),0)</f>
        <v>15795606.93</v>
      </c>
      <c r="H26" s="3">
        <f>IF(ISNUMBER(VLOOKUP("2.2.1",A6:Q98,8,FALSE)),ROUND(VLOOKUP("2.2.1",A6:Q98,8,FALSE),4),0) + IF(ISNUMBER(VLOOKUP("2.2.x",A6:Q98,8,FALSE)),ROUND(VLOOKUP("2.2.x",A6:Q98,8,FALSE),4),0)</f>
        <v>24713263.059999999</v>
      </c>
      <c r="I26" s="3">
        <f>IF(ISNUMBER(VLOOKUP("2.2.1",A6:Q98,9,FALSE)),ROUND(VLOOKUP("2.2.1",A6:Q98,9,FALSE),4),0) + IF(ISNUMBER(VLOOKUP("2.2.x",A6:Q98,9,FALSE)),ROUND(VLOOKUP("2.2.x",A6:Q98,9,FALSE),4),0)</f>
        <v>25694731</v>
      </c>
      <c r="J26" s="3">
        <f>IF(ISNUMBER(VLOOKUP("2.2.1",A6:Q98,10,FALSE)),ROUND(VLOOKUP("2.2.1",A6:Q98,10,FALSE),4),0) + IF(ISNUMBER(VLOOKUP("2.2.x",A6:Q98,10,FALSE)),ROUND(VLOOKUP("2.2.x",A6:Q98,10,FALSE),4),0)</f>
        <v>25631430.350000001</v>
      </c>
      <c r="K26" s="20">
        <v>28699353</v>
      </c>
      <c r="L26" s="20">
        <v>10945496</v>
      </c>
      <c r="M26" s="20">
        <v>7665077</v>
      </c>
      <c r="N26" s="20">
        <v>7966890</v>
      </c>
      <c r="O26" s="20">
        <v>8255671</v>
      </c>
      <c r="P26" s="20">
        <v>8729658</v>
      </c>
      <c r="Q26" s="20">
        <v>9054439</v>
      </c>
    </row>
    <row r="27" spans="1:17" ht="27.9" customHeight="1" x14ac:dyDescent="0.3">
      <c r="A27" s="4" t="s">
        <v>59</v>
      </c>
      <c r="B27" s="5" t="s">
        <v>60</v>
      </c>
      <c r="C27" s="6">
        <v>5235050.28</v>
      </c>
      <c r="D27" s="6">
        <v>6739087.6500000004</v>
      </c>
      <c r="E27" s="6">
        <v>7111414.3300000001</v>
      </c>
      <c r="F27" s="6">
        <v>22389865</v>
      </c>
      <c r="G27" s="6">
        <v>15795606.93</v>
      </c>
      <c r="H27" s="6">
        <v>24713263.059999999</v>
      </c>
      <c r="I27" s="6">
        <v>25694731</v>
      </c>
      <c r="J27" s="6">
        <v>25631430.350000001</v>
      </c>
      <c r="K27" s="21">
        <v>28699353</v>
      </c>
      <c r="L27" s="21">
        <v>10945496</v>
      </c>
      <c r="M27" s="21">
        <v>7665077</v>
      </c>
      <c r="N27" s="21">
        <v>7966890</v>
      </c>
      <c r="O27" s="21">
        <v>8255671</v>
      </c>
      <c r="P27" s="21">
        <v>8729658</v>
      </c>
      <c r="Q27" s="21">
        <v>9054439</v>
      </c>
    </row>
    <row r="28" spans="1:17" ht="27.9" customHeight="1" x14ac:dyDescent="0.3">
      <c r="A28" s="4" t="s">
        <v>61</v>
      </c>
      <c r="B28" s="5" t="s">
        <v>62</v>
      </c>
      <c r="C28" s="6">
        <v>0</v>
      </c>
      <c r="D28" s="6">
        <v>948402.3</v>
      </c>
      <c r="E28" s="6">
        <v>1703885.46</v>
      </c>
      <c r="F28" s="6">
        <v>258076.16</v>
      </c>
      <c r="G28" s="6">
        <v>28455.24</v>
      </c>
      <c r="H28" s="6">
        <v>1061692.82</v>
      </c>
      <c r="I28" s="6">
        <v>2743720</v>
      </c>
      <c r="J28" s="6">
        <v>2743719.99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</row>
    <row r="29" spans="1:17" ht="27.9" customHeight="1" x14ac:dyDescent="0.3">
      <c r="A29" s="4" t="s">
        <v>63</v>
      </c>
      <c r="B29" s="5" t="s">
        <v>32</v>
      </c>
      <c r="C29" s="6">
        <v>348000</v>
      </c>
      <c r="D29" s="6">
        <v>0</v>
      </c>
      <c r="E29" s="6">
        <v>0</v>
      </c>
      <c r="F29" s="6">
        <v>1000000</v>
      </c>
      <c r="G29" s="6">
        <v>0</v>
      </c>
      <c r="H29" s="6">
        <v>0</v>
      </c>
      <c r="I29" s="6">
        <v>0</v>
      </c>
      <c r="J29" s="6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</row>
    <row r="30" spans="1:17" ht="27.9" customHeight="1" x14ac:dyDescent="0.3">
      <c r="A30" s="1" t="s">
        <v>64</v>
      </c>
      <c r="B30" s="2" t="s">
        <v>65</v>
      </c>
      <c r="C30" s="3">
        <f>IF(ISNUMBER(VLOOKUP("1",A6:Q98,3,FALSE)),ROUND(VLOOKUP("1",A6:Q98,3,FALSE),4),0) - IF(ISNUMBER(VLOOKUP("2",A6:Q98,3,FALSE)),ROUND(VLOOKUP("2",A6:Q98,3,FALSE),4),0)</f>
        <v>25703928.06000001</v>
      </c>
      <c r="D30" s="3">
        <f>IF(ISNUMBER(VLOOKUP("1",A6:Q98,4,FALSE)),ROUND(VLOOKUP("1",A6:Q98,4,FALSE),4),0) - IF(ISNUMBER(VLOOKUP("2",A6:Q98,4,FALSE)),ROUND(VLOOKUP("2",A6:Q98,4,FALSE),4),0)</f>
        <v>33343074.110000007</v>
      </c>
      <c r="E30" s="3">
        <f>IF(ISNUMBER(VLOOKUP("1",A6:Q98,5,FALSE)),ROUND(VLOOKUP("1",A6:Q98,5,FALSE),4),0) - IF(ISNUMBER(VLOOKUP("2",A6:Q98,5,FALSE)),ROUND(VLOOKUP("2",A6:Q98,5,FALSE),4),0)</f>
        <v>30112391.180000007</v>
      </c>
      <c r="F30" s="3">
        <f>IF(ISNUMBER(VLOOKUP("1",A6:Q98,6,FALSE)),ROUND(VLOOKUP("1",A6:Q98,6,FALSE),4),0) - IF(ISNUMBER(VLOOKUP("2",A6:Q98,6,FALSE)),ROUND(VLOOKUP("2",A6:Q98,6,FALSE),4),0)</f>
        <v>34434588.280000001</v>
      </c>
      <c r="G30" s="3">
        <f>IF(ISNUMBER(VLOOKUP("1",A6:Q98,7,FALSE)),ROUND(VLOOKUP("1",A6:Q98,7,FALSE),4),0) - IF(ISNUMBER(VLOOKUP("2",A6:Q98,7,FALSE)),ROUND(VLOOKUP("2",A6:Q98,7,FALSE),4),0)</f>
        <v>25962293.030000001</v>
      </c>
      <c r="H30" s="3">
        <f>IF(ISNUMBER(VLOOKUP("1",A6:Q98,8,FALSE)),ROUND(VLOOKUP("1",A6:Q98,8,FALSE),4),0) - IF(ISNUMBER(VLOOKUP("2",A6:Q98,8,FALSE)),ROUND(VLOOKUP("2",A6:Q98,8,FALSE),4),0)</f>
        <v>42193112.950000003</v>
      </c>
      <c r="I30" s="3">
        <f>IF(ISNUMBER(VLOOKUP("1",A6:Q98,9,FALSE)),ROUND(VLOOKUP("1",A6:Q98,9,FALSE),4),0) - IF(ISNUMBER(VLOOKUP("2",A6:Q98,9,FALSE)),ROUND(VLOOKUP("2",A6:Q98,9,FALSE),4),0)</f>
        <v>46302500.810000002</v>
      </c>
      <c r="J30" s="3">
        <f>IF(ISNUMBER(VLOOKUP("1",A6:Q98,10,FALSE)),ROUND(VLOOKUP("1",A6:Q98,10,FALSE),4),0) - IF(ISNUMBER(VLOOKUP("2",A6:Q98,10,FALSE)),ROUND(VLOOKUP("2",A6:Q98,10,FALSE),4),0)</f>
        <v>55350402.719999999</v>
      </c>
      <c r="K30" s="20">
        <v>-399049</v>
      </c>
      <c r="L30" s="20">
        <v>1485000</v>
      </c>
      <c r="M30" s="20">
        <v>1375000</v>
      </c>
      <c r="N30" s="20">
        <v>1375000</v>
      </c>
      <c r="O30" s="20">
        <v>1375000</v>
      </c>
      <c r="P30" s="20">
        <v>1250000</v>
      </c>
      <c r="Q30" s="20">
        <v>1250000</v>
      </c>
    </row>
    <row r="31" spans="1:17" ht="27.9" customHeight="1" x14ac:dyDescent="0.3">
      <c r="A31" s="4" t="s">
        <v>66</v>
      </c>
      <c r="B31" s="5" t="s">
        <v>67</v>
      </c>
      <c r="C31" s="7">
        <f>IF(IF(ISNUMBER(VLOOKUP("3",A6:Q98,3,FALSE)),ROUND(VLOOKUP("3",A6:Q98,3,FALSE),4),0)&gt;0,IF(IF(ISNUMBER(VLOOKUP("3",A6:Q98,3,FALSE)),ROUND(VLOOKUP("3",A6:Q98,3,FALSE),4),0)&gt;IF(ISNUMBER(VLOOKUP("5.1",A6:Q98,3,FALSE)),ROUND(VLOOKUP("5.1",A6:Q98,3,FALSE),4),0),IF(ISNUMBER(VLOOKUP("5.1",A6:Q98,3,FALSE)),ROUND(VLOOKUP("5.1",A6:Q98,3,FALSE),4),0),IF(ISNUMBER(VLOOKUP("3",A6:Q98,3,FALSE)),ROUND(VLOOKUP("3",A6:Q98,3,FALSE),4),0)),0)</f>
        <v>2185000</v>
      </c>
      <c r="D31" s="7">
        <f>IF(IF(ISNUMBER(VLOOKUP("3",A6:Q98,4,FALSE)),ROUND(VLOOKUP("3",A6:Q98,4,FALSE),4),0)&gt;0,IF(IF(ISNUMBER(VLOOKUP("3",A6:Q98,4,FALSE)),ROUND(VLOOKUP("3",A6:Q98,4,FALSE),4),0)&gt;IF(ISNUMBER(VLOOKUP("5.1",A6:Q98,4,FALSE)),ROUND(VLOOKUP("5.1",A6:Q98,4,FALSE),4),0),IF(ISNUMBER(VLOOKUP("5.1",A6:Q98,4,FALSE)),ROUND(VLOOKUP("5.1",A6:Q98,4,FALSE),4),0),IF(ISNUMBER(VLOOKUP("3",A6:Q98,4,FALSE)),ROUND(VLOOKUP("3",A6:Q98,4,FALSE),4),0)),0)</f>
        <v>2320000</v>
      </c>
      <c r="E31" s="7">
        <f>IF(IF(ISNUMBER(VLOOKUP("3",A6:Q98,5,FALSE)),ROUND(VLOOKUP("3",A6:Q98,5,FALSE),4),0)&gt;0,IF(IF(ISNUMBER(VLOOKUP("3",A6:Q98,5,FALSE)),ROUND(VLOOKUP("3",A6:Q98,5,FALSE),4),0)&gt;IF(ISNUMBER(VLOOKUP("5.1",A6:Q98,5,FALSE)),ROUND(VLOOKUP("5.1",A6:Q98,5,FALSE),4),0),IF(ISNUMBER(VLOOKUP("5.1",A6:Q98,5,FALSE)),ROUND(VLOOKUP("5.1",A6:Q98,5,FALSE),4),0),IF(ISNUMBER(VLOOKUP("3",A6:Q98,5,FALSE)),ROUND(VLOOKUP("3",A6:Q98,5,FALSE),4),0)),0)</f>
        <v>1222500</v>
      </c>
      <c r="F31" s="7">
        <f>IF(IF(ISNUMBER(VLOOKUP("3",A6:Q98,6,FALSE)),ROUND(VLOOKUP("3",A6:Q98,6,FALSE),4),0)&gt;0,IF(IF(ISNUMBER(VLOOKUP("3",A6:Q98,6,FALSE)),ROUND(VLOOKUP("3",A6:Q98,6,FALSE),4),0)&gt;IF(ISNUMBER(VLOOKUP("5.1",A6:Q98,6,FALSE)),ROUND(VLOOKUP("5.1",A6:Q98,6,FALSE),4),0),IF(ISNUMBER(VLOOKUP("5.1",A6:Q98,6,FALSE)),ROUND(VLOOKUP("5.1",A6:Q98,6,FALSE),4),0),IF(ISNUMBER(VLOOKUP("3",A6:Q98,6,FALSE)),ROUND(VLOOKUP("3",A6:Q98,6,FALSE),4),0)),0)</f>
        <v>1222500</v>
      </c>
      <c r="G31" s="7">
        <f>IF(IF(ISNUMBER(VLOOKUP("3",A6:Q98,7,FALSE)),ROUND(VLOOKUP("3",A6:Q98,7,FALSE),4),0)&gt;0,IF(IF(ISNUMBER(VLOOKUP("3",A6:Q98,7,FALSE)),ROUND(VLOOKUP("3",A6:Q98,7,FALSE),4),0)&gt;IF(ISNUMBER(VLOOKUP("5.1",A6:Q98,7,FALSE)),ROUND(VLOOKUP("5.1",A6:Q98,7,FALSE),4),0),IF(ISNUMBER(VLOOKUP("5.1",A6:Q98,7,FALSE)),ROUND(VLOOKUP("5.1",A6:Q98,7,FALSE),4),0),IF(ISNUMBER(VLOOKUP("3",A6:Q98,7,FALSE)),ROUND(VLOOKUP("3",A6:Q98,7,FALSE),4),0)),0)</f>
        <v>1322500</v>
      </c>
      <c r="H31" s="7">
        <f>IF(IF(ISNUMBER(VLOOKUP("3",A6:Q98,8,FALSE)),ROUND(VLOOKUP("3",A6:Q98,8,FALSE),4),0)&gt;0,IF(IF(ISNUMBER(VLOOKUP("3",A6:Q98,8,FALSE)),ROUND(VLOOKUP("3",A6:Q98,8,FALSE),4),0)&gt;IF(ISNUMBER(VLOOKUP("5.1",A6:Q98,8,FALSE)),ROUND(VLOOKUP("5.1",A6:Q98,8,FALSE),4),0),IF(ISNUMBER(VLOOKUP("5.1",A6:Q98,8,FALSE)),ROUND(VLOOKUP("5.1",A6:Q98,8,FALSE),4),0),IF(ISNUMBER(VLOOKUP("3",A6:Q98,8,FALSE)),ROUND(VLOOKUP("3",A6:Q98,8,FALSE),4),0)),0)</f>
        <v>1422500</v>
      </c>
      <c r="I31" s="7">
        <f>IF(IF(ISNUMBER(VLOOKUP("3",A6:Q98,9,FALSE)),ROUND(VLOOKUP("3",A6:Q98,9,FALSE),4),0)&gt;0,IF(IF(ISNUMBER(VLOOKUP("3",A6:Q98,9,FALSE)),ROUND(VLOOKUP("3",A6:Q98,9,FALSE),4),0)&gt;IF(ISNUMBER(VLOOKUP("5.1",A6:Q98,9,FALSE)),ROUND(VLOOKUP("5.1",A6:Q98,9,FALSE),4),0),IF(ISNUMBER(VLOOKUP("5.1",A6:Q98,9,FALSE)),ROUND(VLOOKUP("5.1",A6:Q98,9,FALSE),4),0),IF(ISNUMBER(VLOOKUP("3",A6:Q98,9,FALSE)),ROUND(VLOOKUP("3",A6:Q98,9,FALSE),4),0)),0)</f>
        <v>1560000</v>
      </c>
      <c r="J31" s="7">
        <f>IF(IF(ISNUMBER(VLOOKUP("3",A6:Q98,10,FALSE)),ROUND(VLOOKUP("3",A6:Q98,10,FALSE),4),0)&gt;0,IF(IF(ISNUMBER(VLOOKUP("3",A6:Q98,10,FALSE)),ROUND(VLOOKUP("3",A6:Q98,10,FALSE),4),0)&gt;IF(ISNUMBER(VLOOKUP("5.1",A6:Q98,10,FALSE)),ROUND(VLOOKUP("5.1",A6:Q98,10,FALSE),4),0),IF(ISNUMBER(VLOOKUP("5.1",A6:Q98,10,FALSE)),ROUND(VLOOKUP("5.1",A6:Q98,10,FALSE),4),0),IF(ISNUMBER(VLOOKUP("3",A6:Q98,10,FALSE)),ROUND(VLOOKUP("3",A6:Q98,10,FALSE),4),0)),0)</f>
        <v>1560000</v>
      </c>
      <c r="K31" s="22">
        <v>0</v>
      </c>
      <c r="L31" s="22">
        <v>1485000</v>
      </c>
      <c r="M31" s="22">
        <v>1375000</v>
      </c>
      <c r="N31" s="22">
        <v>1375000</v>
      </c>
      <c r="O31" s="22">
        <v>1375000</v>
      </c>
      <c r="P31" s="22">
        <v>1250000</v>
      </c>
      <c r="Q31" s="22">
        <v>1250000</v>
      </c>
    </row>
    <row r="32" spans="1:17" ht="27.9" customHeight="1" x14ac:dyDescent="0.3">
      <c r="A32" s="1" t="s">
        <v>68</v>
      </c>
      <c r="B32" s="2" t="s">
        <v>69</v>
      </c>
      <c r="C32" s="3">
        <f>IF(ISNUMBER(VLOOKUP("4.1",A6:Q98,3,FALSE)),ROUND(VLOOKUP("4.1",A6:Q98,3,FALSE),4),0) + IF(ISNUMBER(VLOOKUP("4.2",A6:Q98,3,FALSE)),ROUND(VLOOKUP("4.2",A6:Q98,3,FALSE),4),0) + IF(ISNUMBER(VLOOKUP("4.3",A6:Q98,3,FALSE)),ROUND(VLOOKUP("4.3",A6:Q98,3,FALSE),4),0) + IF(ISNUMBER(VLOOKUP("4.4",A6:Q98,3,FALSE)),ROUND(VLOOKUP("4.4",A6:Q98,3,FALSE),4),0) + IF(ISNUMBER(VLOOKUP("4.5",A6:Q98,3,FALSE)),ROUND(VLOOKUP("4.5",A6:Q98,3,FALSE),4),0)</f>
        <v>2485939</v>
      </c>
      <c r="D32" s="3">
        <f>IF(ISNUMBER(VLOOKUP("4.1",A6:Q98,4,FALSE)),ROUND(VLOOKUP("4.1",A6:Q98,4,FALSE),4),0) + IF(ISNUMBER(VLOOKUP("4.2",A6:Q98,4,FALSE)),ROUND(VLOOKUP("4.2",A6:Q98,4,FALSE),4),0) + IF(ISNUMBER(VLOOKUP("4.3",A6:Q98,4,FALSE)),ROUND(VLOOKUP("4.3",A6:Q98,4,FALSE),4),0) + IF(ISNUMBER(VLOOKUP("4.4",A6:Q98,4,FALSE)),ROUND(VLOOKUP("4.4",A6:Q98,4,FALSE),4),0) + IF(ISNUMBER(VLOOKUP("4.5",A6:Q98,4,FALSE)),ROUND(VLOOKUP("4.5",A6:Q98,4,FALSE),4),0)</f>
        <v>1160000</v>
      </c>
      <c r="E32" s="3">
        <f>IF(ISNUMBER(VLOOKUP("4.1",A6:Q98,5,FALSE)),ROUND(VLOOKUP("4.1",A6:Q98,5,FALSE),4),0) + IF(ISNUMBER(VLOOKUP("4.2",A6:Q98,5,FALSE)),ROUND(VLOOKUP("4.2",A6:Q98,5,FALSE),4),0) + IF(ISNUMBER(VLOOKUP("4.3",A6:Q98,5,FALSE)),ROUND(VLOOKUP("4.3",A6:Q98,5,FALSE),4),0) + IF(ISNUMBER(VLOOKUP("4.4",A6:Q98,5,FALSE)),ROUND(VLOOKUP("4.4",A6:Q98,5,FALSE),4),0) + IF(ISNUMBER(VLOOKUP("4.5",A6:Q98,5,FALSE)),ROUND(VLOOKUP("4.5",A6:Q98,5,FALSE),4),0)</f>
        <v>7977870.8899999997</v>
      </c>
      <c r="F32" s="3">
        <f>IF(ISNUMBER(VLOOKUP("4.1",A6:Q98,6,FALSE)),ROUND(VLOOKUP("4.1",A6:Q98,6,FALSE),4),0) + IF(ISNUMBER(VLOOKUP("4.2",A6:Q98,6,FALSE)),ROUND(VLOOKUP("4.2",A6:Q98,6,FALSE),4),0) + IF(ISNUMBER(VLOOKUP("4.3",A6:Q98,6,FALSE)),ROUND(VLOOKUP("4.3",A6:Q98,6,FALSE),4),0) + IF(ISNUMBER(VLOOKUP("4.4",A6:Q98,6,FALSE)),ROUND(VLOOKUP("4.4",A6:Q98,6,FALSE),4),0) + IF(ISNUMBER(VLOOKUP("4.5",A6:Q98,6,FALSE)),ROUND(VLOOKUP("4.5",A6:Q98,6,FALSE),4),0)</f>
        <v>15733148.43</v>
      </c>
      <c r="G32" s="3">
        <f>IF(ISNUMBER(VLOOKUP("4.1",A6:Q98,7,FALSE)),ROUND(VLOOKUP("4.1",A6:Q98,7,FALSE),4),0) + IF(ISNUMBER(VLOOKUP("4.2",A6:Q98,7,FALSE)),ROUND(VLOOKUP("4.2",A6:Q98,7,FALSE),4),0) + IF(ISNUMBER(VLOOKUP("4.3",A6:Q98,7,FALSE)),ROUND(VLOOKUP("4.3",A6:Q98,7,FALSE),4),0) + IF(ISNUMBER(VLOOKUP("4.4",A6:Q98,7,FALSE)),ROUND(VLOOKUP("4.4",A6:Q98,7,FALSE),4),0) + IF(ISNUMBER(VLOOKUP("4.5",A6:Q98,7,FALSE)),ROUND(VLOOKUP("4.5",A6:Q98,7,FALSE),4),0)</f>
        <v>17633148.43</v>
      </c>
      <c r="H32" s="3">
        <f>IF(ISNUMBER(VLOOKUP("4.1",A6:Q98,8,FALSE)),ROUND(VLOOKUP("4.1",A6:Q98,8,FALSE),4),0) + IF(ISNUMBER(VLOOKUP("4.2",A6:Q98,8,FALSE)),ROUND(VLOOKUP("4.2",A6:Q98,8,FALSE),4),0) + IF(ISNUMBER(VLOOKUP("4.3",A6:Q98,8,FALSE)),ROUND(VLOOKUP("4.3",A6:Q98,8,FALSE),4),0) + IF(ISNUMBER(VLOOKUP("4.4",A6:Q98,8,FALSE)),ROUND(VLOOKUP("4.4",A6:Q98,8,FALSE),4),0) + IF(ISNUMBER(VLOOKUP("4.5",A6:Q98,8,FALSE)),ROUND(VLOOKUP("4.5",A6:Q98,8,FALSE),4),0)</f>
        <v>12625501.73</v>
      </c>
      <c r="I32" s="3">
        <f>IF(ISNUMBER(VLOOKUP("4.1",A6:Q98,9,FALSE)),ROUND(VLOOKUP("4.1",A6:Q98,9,FALSE),4),0) + IF(ISNUMBER(VLOOKUP("4.2",A6:Q98,9,FALSE)),ROUND(VLOOKUP("4.2",A6:Q98,9,FALSE),4),0) + IF(ISNUMBER(VLOOKUP("4.3",A6:Q98,9,FALSE)),ROUND(VLOOKUP("4.3",A6:Q98,9,FALSE),4),0) + IF(ISNUMBER(VLOOKUP("4.4",A6:Q98,9,FALSE)),ROUND(VLOOKUP("4.4",A6:Q98,9,FALSE),4),0) + IF(ISNUMBER(VLOOKUP("4.5",A6:Q98,9,FALSE)),ROUND(VLOOKUP("4.5",A6:Q98,9,FALSE),4),0)</f>
        <v>1276995</v>
      </c>
      <c r="J32" s="3">
        <f>IF(ISNUMBER(VLOOKUP("4.1",A6:Q98,10,FALSE)),ROUND(VLOOKUP("4.1",A6:Q98,10,FALSE),4),0) + IF(ISNUMBER(VLOOKUP("4.2",A6:Q98,10,FALSE)),ROUND(VLOOKUP("4.2",A6:Q98,10,FALSE),4),0) + IF(ISNUMBER(VLOOKUP("4.3",A6:Q98,10,FALSE)),ROUND(VLOOKUP("4.3",A6:Q98,10,FALSE),4),0) + IF(ISNUMBER(VLOOKUP("4.4",A6:Q98,10,FALSE)),ROUND(VLOOKUP("4.4",A6:Q98,10,FALSE),4),0) + IF(ISNUMBER(VLOOKUP("4.5",A6:Q98,10,FALSE)),ROUND(VLOOKUP("4.5",A6:Q98,10,FALSE),4),0)</f>
        <v>14993628.76</v>
      </c>
      <c r="K32" s="20">
        <v>1959049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</row>
    <row r="33" spans="1:17" ht="27.9" customHeight="1" x14ac:dyDescent="0.3">
      <c r="A33" s="1" t="s">
        <v>70</v>
      </c>
      <c r="B33" s="2" t="s">
        <v>71</v>
      </c>
      <c r="C33" s="3">
        <v>0</v>
      </c>
      <c r="D33" s="3">
        <v>0</v>
      </c>
      <c r="E33" s="3">
        <v>0</v>
      </c>
      <c r="F33" s="3">
        <v>2500000</v>
      </c>
      <c r="G33" s="3">
        <v>4400000</v>
      </c>
      <c r="H33" s="3">
        <v>3000000</v>
      </c>
      <c r="I33" s="3">
        <v>0</v>
      </c>
      <c r="J33" s="3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</row>
    <row r="34" spans="1:17" ht="27.9" customHeight="1" x14ac:dyDescent="0.3">
      <c r="A34" s="4" t="s">
        <v>72</v>
      </c>
      <c r="B34" s="5" t="s">
        <v>73</v>
      </c>
      <c r="C34" s="7">
        <v>0</v>
      </c>
      <c r="D34" s="7">
        <v>0</v>
      </c>
      <c r="E34" s="7">
        <v>0</v>
      </c>
      <c r="F34" s="7">
        <v>0</v>
      </c>
      <c r="G34" s="7">
        <v>4400000</v>
      </c>
      <c r="H34" s="7">
        <v>0</v>
      </c>
      <c r="I34" s="7">
        <v>0</v>
      </c>
      <c r="J34" s="7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</row>
    <row r="35" spans="1:17" ht="27.9" customHeight="1" x14ac:dyDescent="0.3">
      <c r="A35" s="1" t="s">
        <v>74</v>
      </c>
      <c r="B35" s="2" t="s">
        <v>75</v>
      </c>
      <c r="C35" s="8">
        <v>0</v>
      </c>
      <c r="D35" s="8">
        <v>0</v>
      </c>
      <c r="E35" s="8">
        <v>1657870.89</v>
      </c>
      <c r="F35" s="8">
        <v>6658148.4299999997</v>
      </c>
      <c r="G35" s="8">
        <v>6658148.4299999997</v>
      </c>
      <c r="H35" s="8">
        <v>0</v>
      </c>
      <c r="I35" s="8">
        <v>0</v>
      </c>
      <c r="J35" s="8">
        <v>3763628.76</v>
      </c>
      <c r="K35" s="23">
        <v>1959049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</row>
    <row r="36" spans="1:17" ht="27.9" customHeight="1" x14ac:dyDescent="0.3">
      <c r="A36" s="4" t="s">
        <v>76</v>
      </c>
      <c r="B36" s="5" t="s">
        <v>73</v>
      </c>
      <c r="C36" s="7">
        <v>0</v>
      </c>
      <c r="D36" s="7">
        <v>0</v>
      </c>
      <c r="E36" s="7">
        <v>0</v>
      </c>
      <c r="F36" s="7">
        <v>0</v>
      </c>
      <c r="G36" s="7">
        <v>2285146.7000000002</v>
      </c>
      <c r="H36" s="7">
        <v>0</v>
      </c>
      <c r="I36" s="7">
        <v>0</v>
      </c>
      <c r="J36" s="7">
        <v>0</v>
      </c>
      <c r="K36" s="22">
        <v>399049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</row>
    <row r="37" spans="1:17" ht="27.9" customHeight="1" x14ac:dyDescent="0.3">
      <c r="A37" s="4" t="s">
        <v>77</v>
      </c>
      <c r="B37" s="5" t="s">
        <v>78</v>
      </c>
      <c r="C37" s="6">
        <v>1785939</v>
      </c>
      <c r="D37" s="6">
        <v>1160000</v>
      </c>
      <c r="E37" s="6">
        <v>6320000</v>
      </c>
      <c r="F37" s="6">
        <v>6575000</v>
      </c>
      <c r="G37" s="6">
        <v>6575000</v>
      </c>
      <c r="H37" s="6">
        <v>9625501.7300000004</v>
      </c>
      <c r="I37" s="6">
        <v>1276995</v>
      </c>
      <c r="J37" s="6">
        <v>11230000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</row>
    <row r="38" spans="1:17" ht="27.9" customHeight="1" x14ac:dyDescent="0.3">
      <c r="A38" s="4" t="s">
        <v>79</v>
      </c>
      <c r="B38" s="5" t="s">
        <v>73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</row>
    <row r="39" spans="1:17" ht="27.9" customHeight="1" x14ac:dyDescent="0.3">
      <c r="A39" s="4" t="s">
        <v>80</v>
      </c>
      <c r="B39" s="5" t="s">
        <v>81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</row>
    <row r="40" spans="1:17" ht="27.9" customHeight="1" x14ac:dyDescent="0.3">
      <c r="A40" s="4" t="s">
        <v>82</v>
      </c>
      <c r="B40" s="5" t="s">
        <v>73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</row>
    <row r="41" spans="1:17" ht="27.9" customHeight="1" x14ac:dyDescent="0.3">
      <c r="A41" s="1" t="s">
        <v>83</v>
      </c>
      <c r="B41" s="2" t="s">
        <v>84</v>
      </c>
      <c r="C41" s="8">
        <v>700000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</row>
    <row r="42" spans="1:17" ht="27.9" customHeight="1" x14ac:dyDescent="0.3">
      <c r="A42" s="4" t="s">
        <v>85</v>
      </c>
      <c r="B42" s="5" t="s">
        <v>73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</row>
    <row r="43" spans="1:17" ht="27.9" customHeight="1" x14ac:dyDescent="0.3">
      <c r="A43" s="1" t="s">
        <v>86</v>
      </c>
      <c r="B43" s="2" t="s">
        <v>87</v>
      </c>
      <c r="C43" s="3">
        <f>IF(ISNUMBER(VLOOKUP("5.1",A6:Q98,3,FALSE)),ROUND(VLOOKUP("5.1",A6:Q98,3,FALSE),4),0) + IF(ISNUMBER(VLOOKUP("5.2",A6:Q98,3,FALSE)),ROUND(VLOOKUP("5.2",A6:Q98,3,FALSE),4),0)</f>
        <v>2885000</v>
      </c>
      <c r="D43" s="3">
        <f>IF(ISNUMBER(VLOOKUP("5.1",A6:Q98,4,FALSE)),ROUND(VLOOKUP("5.1",A6:Q98,4,FALSE),4),0) + IF(ISNUMBER(VLOOKUP("5.2",A6:Q98,4,FALSE)),ROUND(VLOOKUP("5.2",A6:Q98,4,FALSE),4),0)</f>
        <v>2320000</v>
      </c>
      <c r="E43" s="3">
        <f>IF(ISNUMBER(VLOOKUP("5.1",A6:Q98,5,FALSE)),ROUND(VLOOKUP("5.1",A6:Q98,5,FALSE),4),0) + IF(ISNUMBER(VLOOKUP("5.2",A6:Q98,5,FALSE)),ROUND(VLOOKUP("5.2",A6:Q98,5,FALSE),4),0)</f>
        <v>1222500</v>
      </c>
      <c r="F43" s="3">
        <f>IF(ISNUMBER(VLOOKUP("5.1",A6:Q98,6,FALSE)),ROUND(VLOOKUP("5.1",A6:Q98,6,FALSE),4),0) + IF(ISNUMBER(VLOOKUP("5.2",A6:Q98,6,FALSE)),ROUND(VLOOKUP("5.2",A6:Q98,6,FALSE),4),0)</f>
        <v>1222500</v>
      </c>
      <c r="G43" s="3">
        <f>IF(ISNUMBER(VLOOKUP("5.1",A6:Q98,7,FALSE)),ROUND(VLOOKUP("5.1",A6:Q98,7,FALSE),4),0) + IF(ISNUMBER(VLOOKUP("5.2",A6:Q98,7,FALSE)),ROUND(VLOOKUP("5.2",A6:Q98,7,FALSE),4),0)</f>
        <v>1322500</v>
      </c>
      <c r="H43" s="3">
        <f>IF(ISNUMBER(VLOOKUP("5.1",A6:Q98,8,FALSE)),ROUND(VLOOKUP("5.1",A6:Q98,8,FALSE),4),0) + IF(ISNUMBER(VLOOKUP("5.2",A6:Q98,8,FALSE)),ROUND(VLOOKUP("5.2",A6:Q98,8,FALSE),4),0)</f>
        <v>1422500</v>
      </c>
      <c r="I43" s="3">
        <f>IF(ISNUMBER(VLOOKUP("5.1",A6:Q98,9,FALSE)),ROUND(VLOOKUP("5.1",A6:Q98,9,FALSE),4),0) + IF(ISNUMBER(VLOOKUP("5.2",A6:Q98,9,FALSE)),ROUND(VLOOKUP("5.2",A6:Q98,9,FALSE),4),0)</f>
        <v>1560000</v>
      </c>
      <c r="J43" s="3">
        <f>IF(ISNUMBER(VLOOKUP("5.1",A6:Q98,10,FALSE)),ROUND(VLOOKUP("5.1",A6:Q98,10,FALSE),4),0) + IF(ISNUMBER(VLOOKUP("5.2",A6:Q98,10,FALSE)),ROUND(VLOOKUP("5.2",A6:Q98,10,FALSE),4),0)</f>
        <v>1560000</v>
      </c>
      <c r="K43" s="20">
        <v>1560000</v>
      </c>
      <c r="L43" s="20">
        <v>1485000</v>
      </c>
      <c r="M43" s="20">
        <v>1375000</v>
      </c>
      <c r="N43" s="20">
        <v>1375000</v>
      </c>
      <c r="O43" s="20">
        <v>1375000</v>
      </c>
      <c r="P43" s="20">
        <v>1250000</v>
      </c>
      <c r="Q43" s="20">
        <v>1250000</v>
      </c>
    </row>
    <row r="44" spans="1:17" ht="27.9" customHeight="1" x14ac:dyDescent="0.3">
      <c r="A44" s="1" t="s">
        <v>88</v>
      </c>
      <c r="B44" s="2" t="s">
        <v>89</v>
      </c>
      <c r="C44" s="3">
        <v>2185000</v>
      </c>
      <c r="D44" s="3">
        <v>2320000</v>
      </c>
      <c r="E44" s="3">
        <v>1222500</v>
      </c>
      <c r="F44" s="3">
        <v>1222500</v>
      </c>
      <c r="G44" s="3">
        <v>1322500</v>
      </c>
      <c r="H44" s="3">
        <v>1422500</v>
      </c>
      <c r="I44" s="3">
        <v>1560000</v>
      </c>
      <c r="J44" s="3">
        <v>1560000</v>
      </c>
      <c r="K44" s="20">
        <v>1560000</v>
      </c>
      <c r="L44" s="20">
        <v>1485000</v>
      </c>
      <c r="M44" s="20">
        <v>1375000</v>
      </c>
      <c r="N44" s="20">
        <v>1375000</v>
      </c>
      <c r="O44" s="20">
        <v>1375000</v>
      </c>
      <c r="P44" s="20">
        <v>1250000</v>
      </c>
      <c r="Q44" s="20">
        <v>1250000</v>
      </c>
    </row>
    <row r="45" spans="1:17" ht="27.9" customHeight="1" x14ac:dyDescent="0.3">
      <c r="A45" s="4" t="s">
        <v>90</v>
      </c>
      <c r="B45" s="5" t="s">
        <v>91</v>
      </c>
      <c r="C45" s="7">
        <f>IF(ISNUMBER(VLOOKUP("5.1.1.1",A6:Q98,3,FALSE)),ROUND(VLOOKUP("5.1.1.1",A6:Q98,3,FALSE),4),0) + IF(ISNUMBER(VLOOKUP("5.1.1.2",A6:Q98,3,FALSE)),ROUND(VLOOKUP("5.1.1.2",A6:Q98,3,FALSE),4),0) + IF(ISNUMBER(VLOOKUP("5.1.1.3",A6:Q98,3,FALSE)),ROUND(VLOOKUP("5.1.1.3",A6:Q98,3,FALSE),4),0) + IF(ISNA(VLOOKUP("5.1.1.4",A6:Q98,3,FALSE)),0,ROUND(VLOOKUP("5.1.1.4",A6:Q98,3,FALSE),4))</f>
        <v>0</v>
      </c>
      <c r="D45" s="7">
        <f>IF(ISNUMBER(VLOOKUP("5.1.1.1",A6:Q98,4,FALSE)),ROUND(VLOOKUP("5.1.1.1",A6:Q98,4,FALSE),4),0) + IF(ISNUMBER(VLOOKUP("5.1.1.2",A6:Q98,4,FALSE)),ROUND(VLOOKUP("5.1.1.2",A6:Q98,4,FALSE),4),0) + IF(ISNUMBER(VLOOKUP("5.1.1.3",A6:Q98,4,FALSE)),ROUND(VLOOKUP("5.1.1.3",A6:Q98,4,FALSE),4),0) + IF(ISNA(VLOOKUP("5.1.1.4",A6:Q98,4,FALSE)),0,ROUND(VLOOKUP("5.1.1.4",A6:Q98,4,FALSE),4))</f>
        <v>0</v>
      </c>
      <c r="E45" s="7">
        <f>IF(ISNUMBER(VLOOKUP("5.1.1.1",A6:Q98,5,FALSE)),ROUND(VLOOKUP("5.1.1.1",A6:Q98,5,FALSE),4),0) + IF(ISNUMBER(VLOOKUP("5.1.1.2",A6:Q98,5,FALSE)),ROUND(VLOOKUP("5.1.1.2",A6:Q98,5,FALSE),4),0) + IF(ISNUMBER(VLOOKUP("5.1.1.3",A6:Q98,5,FALSE)),ROUND(VLOOKUP("5.1.1.3",A6:Q98,5,FALSE),4),0) + IF(ISNA(VLOOKUP("5.1.1.4",A6:Q98,5,FALSE)),0,ROUND(VLOOKUP("5.1.1.4",A6:Q98,5,FALSE),4))</f>
        <v>0</v>
      </c>
      <c r="F45" s="7">
        <f>IF(ISNUMBER(VLOOKUP("5.1.1.1",A6:Q98,6,FALSE)),ROUND(VLOOKUP("5.1.1.1",A6:Q98,6,FALSE),4),0) + IF(ISNUMBER(VLOOKUP("5.1.1.2",A6:Q98,6,FALSE)),ROUND(VLOOKUP("5.1.1.2",A6:Q98,6,FALSE),4),0) + IF(ISNUMBER(VLOOKUP("5.1.1.3",A6:Q98,6,FALSE)),ROUND(VLOOKUP("5.1.1.3",A6:Q98,6,FALSE),4),0) + IF(ISNA(VLOOKUP("5.1.1.4",A6:Q98,6,FALSE)),0,ROUND(VLOOKUP("5.1.1.4",A6:Q98,6,FALSE),4))</f>
        <v>0</v>
      </c>
      <c r="G45" s="7">
        <f>IF(ISNUMBER(VLOOKUP("5.1.1.1",A6:Q98,7,FALSE)),ROUND(VLOOKUP("5.1.1.1",A6:Q98,7,FALSE),4),0) + IF(ISNUMBER(VLOOKUP("5.1.1.2",A6:Q98,7,FALSE)),ROUND(VLOOKUP("5.1.1.2",A6:Q98,7,FALSE),4),0) + IF(ISNUMBER(VLOOKUP("5.1.1.3",A6:Q98,7,FALSE)),ROUND(VLOOKUP("5.1.1.3",A6:Q98,7,FALSE),4),0) + IF(ISNA(VLOOKUP("5.1.1.4",A6:Q98,7,FALSE)),0,ROUND(VLOOKUP("5.1.1.4",A6:Q98,7,FALSE),4))</f>
        <v>0</v>
      </c>
      <c r="H45" s="7">
        <f>IF(ISNUMBER(VLOOKUP("5.1.1.1",A6:Q98,8,FALSE)),ROUND(VLOOKUP("5.1.1.1",A6:Q98,8,FALSE),4),0) + IF(ISNUMBER(VLOOKUP("5.1.1.2",A6:Q98,8,FALSE)),ROUND(VLOOKUP("5.1.1.2",A6:Q98,8,FALSE),4),0) + IF(ISNUMBER(VLOOKUP("5.1.1.3",A6:Q98,8,FALSE)),ROUND(VLOOKUP("5.1.1.3",A6:Q98,8,FALSE),4),0) + IF(ISNA(VLOOKUP("5.1.1.4",A6:Q98,8,FALSE)),0,ROUND(VLOOKUP("5.1.1.4",A6:Q98,8,FALSE),4))</f>
        <v>0</v>
      </c>
      <c r="I45" s="7">
        <f>IF(ISNUMBER(VLOOKUP("5.1.1.1",A6:Q98,9,FALSE)),ROUND(VLOOKUP("5.1.1.1",A6:Q98,9,FALSE),4),0) + IF(ISNUMBER(VLOOKUP("5.1.1.2",A6:Q98,9,FALSE)),ROUND(VLOOKUP("5.1.1.2",A6:Q98,9,FALSE),4),0) + IF(ISNUMBER(VLOOKUP("5.1.1.3",A6:Q98,9,FALSE)),ROUND(VLOOKUP("5.1.1.3",A6:Q98,9,FALSE),4),0) + IF(ISNA(VLOOKUP("5.1.1.4",A6:Q98,9,FALSE)),0,ROUND(VLOOKUP("5.1.1.4",A6:Q98,9,FALSE),4))</f>
        <v>0</v>
      </c>
      <c r="J45" s="7">
        <f>IF(ISNUMBER(VLOOKUP("5.1.1.1",A6:Q98,10,FALSE)),ROUND(VLOOKUP("5.1.1.1",A6:Q98,10,FALSE),4),0) + IF(ISNUMBER(VLOOKUP("5.1.1.2",A6:Q98,10,FALSE)),ROUND(VLOOKUP("5.1.1.2",A6:Q98,10,FALSE),4),0) + IF(ISNUMBER(VLOOKUP("5.1.1.3",A6:Q98,10,FALSE)),ROUND(VLOOKUP("5.1.1.3",A6:Q98,10,FALSE),4),0) + IF(ISNA(VLOOKUP("5.1.1.4",A6:Q98,10,FALSE)),0,ROUND(VLOOKUP("5.1.1.4",A6:Q98,10,FALSE),4))</f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</row>
    <row r="46" spans="1:17" ht="27.9" customHeight="1" x14ac:dyDescent="0.3">
      <c r="A46" s="4" t="s">
        <v>92</v>
      </c>
      <c r="B46" s="5" t="s">
        <v>93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</row>
    <row r="47" spans="1:17" ht="27.9" customHeight="1" x14ac:dyDescent="0.3">
      <c r="A47" s="4" t="s">
        <v>94</v>
      </c>
      <c r="B47" s="5" t="s">
        <v>95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</row>
    <row r="48" spans="1:17" ht="27.9" customHeight="1" x14ac:dyDescent="0.3">
      <c r="A48" s="4" t="s">
        <v>96</v>
      </c>
      <c r="B48" s="5" t="s">
        <v>97</v>
      </c>
      <c r="C48" s="7">
        <f>IF(ISNUMBER(VLOOKUP("5.1.1.3.1",A6:Q98,3,FALSE)),ROUND(VLOOKUP("5.1.1.3.1",A6:Q98,3,FALSE),4),0) + IF(ISNUMBER(VLOOKUP("5.1.1.3.2",A6:Q98,3,FALSE)),ROUND(VLOOKUP("5.1.1.3.2",A6:Q98,3,FALSE),4),0) + IF(ISNUMBER(VLOOKUP("5.1.1.3.3",A6:Q98,3,FALSE)),ROUND(VLOOKUP("5.1.1.3.3",A6:Q98,3,FALSE),4),0)</f>
        <v>0</v>
      </c>
      <c r="D48" s="7">
        <f>IF(ISNUMBER(VLOOKUP("5.1.1.3.1",A6:Q98,4,FALSE)),ROUND(VLOOKUP("5.1.1.3.1",A6:Q98,4,FALSE),4),0) + IF(ISNUMBER(VLOOKUP("5.1.1.3.2",A6:Q98,4,FALSE)),ROUND(VLOOKUP("5.1.1.3.2",A6:Q98,4,FALSE),4),0) + IF(ISNUMBER(VLOOKUP("5.1.1.3.3",A6:Q98,4,FALSE)),ROUND(VLOOKUP("5.1.1.3.3",A6:Q98,4,FALSE),4),0)</f>
        <v>0</v>
      </c>
      <c r="E48" s="7">
        <f>IF(ISNUMBER(VLOOKUP("5.1.1.3.1",A6:Q98,5,FALSE)),ROUND(VLOOKUP("5.1.1.3.1",A6:Q98,5,FALSE),4),0) + IF(ISNUMBER(VLOOKUP("5.1.1.3.2",A6:Q98,5,FALSE)),ROUND(VLOOKUP("5.1.1.3.2",A6:Q98,5,FALSE),4),0) + IF(ISNUMBER(VLOOKUP("5.1.1.3.3",A6:Q98,5,FALSE)),ROUND(VLOOKUP("5.1.1.3.3",A6:Q98,5,FALSE),4),0)</f>
        <v>0</v>
      </c>
      <c r="F48" s="7">
        <f>IF(ISNUMBER(VLOOKUP("5.1.1.3.1",A6:Q98,6,FALSE)),ROUND(VLOOKUP("5.1.1.3.1",A6:Q98,6,FALSE),4),0) + IF(ISNUMBER(VLOOKUP("5.1.1.3.2",A6:Q98,6,FALSE)),ROUND(VLOOKUP("5.1.1.3.2",A6:Q98,6,FALSE),4),0) + IF(ISNUMBER(VLOOKUP("5.1.1.3.3",A6:Q98,6,FALSE)),ROUND(VLOOKUP("5.1.1.3.3",A6:Q98,6,FALSE),4),0)</f>
        <v>0</v>
      </c>
      <c r="G48" s="7">
        <f>IF(ISNUMBER(VLOOKUP("5.1.1.3.1",A6:Q98,7,FALSE)),ROUND(VLOOKUP("5.1.1.3.1",A6:Q98,7,FALSE),4),0) + IF(ISNUMBER(VLOOKUP("5.1.1.3.2",A6:Q98,7,FALSE)),ROUND(VLOOKUP("5.1.1.3.2",A6:Q98,7,FALSE),4),0) + IF(ISNUMBER(VLOOKUP("5.1.1.3.3",A6:Q98,7,FALSE)),ROUND(VLOOKUP("5.1.1.3.3",A6:Q98,7,FALSE),4),0)</f>
        <v>0</v>
      </c>
      <c r="H48" s="7">
        <f>IF(ISNUMBER(VLOOKUP("5.1.1.3.1",A6:Q98,8,FALSE)),ROUND(VLOOKUP("5.1.1.3.1",A6:Q98,8,FALSE),4),0) + IF(ISNUMBER(VLOOKUP("5.1.1.3.2",A6:Q98,8,FALSE)),ROUND(VLOOKUP("5.1.1.3.2",A6:Q98,8,FALSE),4),0) + IF(ISNUMBER(VLOOKUP("5.1.1.3.3",A6:Q98,8,FALSE)),ROUND(VLOOKUP("5.1.1.3.3",A6:Q98,8,FALSE),4),0)</f>
        <v>0</v>
      </c>
      <c r="I48" s="7">
        <f>IF(ISNUMBER(VLOOKUP("5.1.1.3.1",A6:Q98,9,FALSE)),ROUND(VLOOKUP("5.1.1.3.1",A6:Q98,9,FALSE),4),0) + IF(ISNUMBER(VLOOKUP("5.1.1.3.2",A6:Q98,9,FALSE)),ROUND(VLOOKUP("5.1.1.3.2",A6:Q98,9,FALSE),4),0) + IF(ISNUMBER(VLOOKUP("5.1.1.3.3",A6:Q98,9,FALSE)),ROUND(VLOOKUP("5.1.1.3.3",A6:Q98,9,FALSE),4),0)</f>
        <v>0</v>
      </c>
      <c r="J48" s="7">
        <f>IF(ISNUMBER(VLOOKUP("5.1.1.3.1",A6:Q98,10,FALSE)),ROUND(VLOOKUP("5.1.1.3.1",A6:Q98,10,FALSE),4),0) + IF(ISNUMBER(VLOOKUP("5.1.1.3.2",A6:Q98,10,FALSE)),ROUND(VLOOKUP("5.1.1.3.2",A6:Q98,10,FALSE),4),0) + IF(ISNUMBER(VLOOKUP("5.1.1.3.3",A6:Q98,10,FALSE)),ROUND(VLOOKUP("5.1.1.3.3",A6:Q98,10,FALSE),4),0)</f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</row>
    <row r="49" spans="1:17" ht="27.9" customHeight="1" x14ac:dyDescent="0.3">
      <c r="A49" s="4" t="s">
        <v>98</v>
      </c>
      <c r="B49" s="5" t="s">
        <v>99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</row>
    <row r="50" spans="1:17" ht="27.9" customHeight="1" x14ac:dyDescent="0.3">
      <c r="A50" s="4" t="s">
        <v>100</v>
      </c>
      <c r="B50" s="5" t="s">
        <v>101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</row>
    <row r="51" spans="1:17" ht="27.9" customHeight="1" x14ac:dyDescent="0.3">
      <c r="A51" s="4" t="s">
        <v>102</v>
      </c>
      <c r="B51" s="5" t="s">
        <v>103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</row>
    <row r="52" spans="1:17" ht="27.9" customHeight="1" x14ac:dyDescent="0.3">
      <c r="A52" s="4" t="s">
        <v>104</v>
      </c>
      <c r="B52" s="5" t="s">
        <v>105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</row>
    <row r="53" spans="1:17" ht="27.9" customHeight="1" x14ac:dyDescent="0.3">
      <c r="A53" s="1" t="s">
        <v>106</v>
      </c>
      <c r="B53" s="2" t="s">
        <v>107</v>
      </c>
      <c r="C53" s="8">
        <v>700000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</row>
    <row r="54" spans="1:17" ht="27.9" customHeight="1" x14ac:dyDescent="0.3">
      <c r="A54" s="1" t="s">
        <v>108</v>
      </c>
      <c r="B54" s="2" t="s">
        <v>109</v>
      </c>
      <c r="C54" s="3">
        <v>8840000</v>
      </c>
      <c r="D54" s="3">
        <v>6520000</v>
      </c>
      <c r="E54" s="3">
        <v>5297500</v>
      </c>
      <c r="F54" s="3">
        <v>6575000</v>
      </c>
      <c r="G54" s="3">
        <v>9652500</v>
      </c>
      <c r="H54" s="3">
        <v>11230000</v>
      </c>
      <c r="I54" s="3">
        <v>9670000</v>
      </c>
      <c r="J54" s="3">
        <v>9670000</v>
      </c>
      <c r="K54" s="20">
        <v>8110000</v>
      </c>
      <c r="L54" s="20">
        <v>6625000</v>
      </c>
      <c r="M54" s="20">
        <v>5250000</v>
      </c>
      <c r="N54" s="20">
        <v>3875000</v>
      </c>
      <c r="O54" s="20">
        <v>2500000</v>
      </c>
      <c r="P54" s="20">
        <v>1250000</v>
      </c>
      <c r="Q54" s="20">
        <v>0</v>
      </c>
    </row>
    <row r="55" spans="1:17" ht="27.9" customHeight="1" x14ac:dyDescent="0.3">
      <c r="A55" s="4" t="s">
        <v>110</v>
      </c>
      <c r="B55" s="5" t="s">
        <v>111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</row>
    <row r="56" spans="1:17" ht="27.9" customHeight="1" x14ac:dyDescent="0.3">
      <c r="A56" s="1" t="s">
        <v>112</v>
      </c>
      <c r="B56" s="2" t="s">
        <v>113</v>
      </c>
      <c r="C56" s="29" t="s">
        <v>114</v>
      </c>
      <c r="D56" s="29" t="s">
        <v>114</v>
      </c>
      <c r="E56" s="29" t="s">
        <v>114</v>
      </c>
      <c r="F56" s="29" t="s">
        <v>114</v>
      </c>
      <c r="G56" s="29" t="s">
        <v>114</v>
      </c>
      <c r="H56" s="29" t="s">
        <v>114</v>
      </c>
      <c r="I56" s="29" t="s">
        <v>114</v>
      </c>
      <c r="J56" s="29" t="s">
        <v>114</v>
      </c>
      <c r="K56" s="30" t="s">
        <v>114</v>
      </c>
      <c r="L56" s="30" t="s">
        <v>114</v>
      </c>
      <c r="M56" s="30" t="s">
        <v>114</v>
      </c>
      <c r="N56" s="30" t="s">
        <v>114</v>
      </c>
      <c r="O56" s="30" t="s">
        <v>114</v>
      </c>
      <c r="P56" s="30" t="s">
        <v>114</v>
      </c>
      <c r="Q56" s="30" t="s">
        <v>114</v>
      </c>
    </row>
    <row r="57" spans="1:17" ht="27.9" customHeight="1" x14ac:dyDescent="0.3">
      <c r="A57" s="4" t="s">
        <v>115</v>
      </c>
      <c r="B57" s="5" t="s">
        <v>116</v>
      </c>
      <c r="C57" s="7">
        <f>IF(ISNUMBER(VLOOKUP("1.1",A6:Q98,3,FALSE)),ROUND(VLOOKUP("1.1",A6:Q98,3,FALSE),4),0) - IF(ISNUMBER(VLOOKUP("2.1",A6:Q98,3,FALSE)),ROUND(VLOOKUP("2.1",A6:Q98,3,FALSE),4),0)</f>
        <v>29663821.609999999</v>
      </c>
      <c r="D57" s="7">
        <f>IF(ISNUMBER(VLOOKUP("1.1",A6:Q98,4,FALSE)),ROUND(VLOOKUP("1.1",A6:Q98,4,FALSE),4),0) - IF(ISNUMBER(VLOOKUP("2.1",A6:Q98,4,FALSE)),ROUND(VLOOKUP("2.1",A6:Q98,4,FALSE),4),0)</f>
        <v>32916156.010000005</v>
      </c>
      <c r="E57" s="7">
        <f>IF(ISNUMBER(VLOOKUP("1.1",A6:Q98,5,FALSE)),ROUND(VLOOKUP("1.1",A6:Q98,5,FALSE),4),0) - IF(ISNUMBER(VLOOKUP("2.1",A6:Q98,5,FALSE)),ROUND(VLOOKUP("2.1",A6:Q98,5,FALSE),4),0)</f>
        <v>33524916.649999991</v>
      </c>
      <c r="F57" s="7">
        <f>IF(ISNUMBER(VLOOKUP("1.1",A6:Q98,6,FALSE)),ROUND(VLOOKUP("1.1",A6:Q98,6,FALSE),4),0) - IF(ISNUMBER(VLOOKUP("2.1",A6:Q98,6,FALSE)),ROUND(VLOOKUP("2.1",A6:Q98,6,FALSE),4),0)</f>
        <v>39597086.469999999</v>
      </c>
      <c r="G57" s="7">
        <f>IF(ISNUMBER(VLOOKUP("1.1",A6:Q98,7,FALSE)),ROUND(VLOOKUP("1.1",A6:Q98,7,FALSE),4),0) - IF(ISNUMBER(VLOOKUP("2.1",A6:Q98,7,FALSE)),ROUND(VLOOKUP("2.1",A6:Q98,7,FALSE),4),0)</f>
        <v>34818967.329999998</v>
      </c>
      <c r="H57" s="7">
        <f>IF(ISNUMBER(VLOOKUP("1.1",A6:Q98,8,FALSE)),ROUND(VLOOKUP("1.1",A6:Q98,8,FALSE),4),0) - IF(ISNUMBER(VLOOKUP("2.1",A6:Q98,8,FALSE)),ROUND(VLOOKUP("2.1",A6:Q98,8,FALSE),4),0)</f>
        <v>51858065.300000012</v>
      </c>
      <c r="I57" s="7">
        <f>IF(ISNUMBER(VLOOKUP("1.1",A6:Q98,9,FALSE)),ROUND(VLOOKUP("1.1",A6:Q98,9,FALSE),4),0) - IF(ISNUMBER(VLOOKUP("2.1",A6:Q98,9,FALSE)),ROUND(VLOOKUP("2.1",A6:Q98,9,FALSE),4),0)</f>
        <v>52391265.810000002</v>
      </c>
      <c r="J57" s="7">
        <f>IF(ISNUMBER(VLOOKUP("1.1",A6:Q98,10,FALSE)),ROUND(VLOOKUP("1.1",A6:Q98,10,FALSE),4),0) - IF(ISNUMBER(VLOOKUP("2.1",A6:Q98,10,FALSE)),ROUND(VLOOKUP("2.1",A6:Q98,10,FALSE),4),0)</f>
        <v>61324570.090000018</v>
      </c>
      <c r="K57" s="22">
        <v>9738556</v>
      </c>
      <c r="L57" s="22">
        <v>8224611</v>
      </c>
      <c r="M57" s="22">
        <v>8922077</v>
      </c>
      <c r="N57" s="22">
        <v>9286890</v>
      </c>
      <c r="O57" s="22">
        <v>9630671</v>
      </c>
      <c r="P57" s="22">
        <v>9979658</v>
      </c>
      <c r="Q57" s="22">
        <v>10304439</v>
      </c>
    </row>
    <row r="58" spans="1:17" ht="46.5" customHeight="1" x14ac:dyDescent="0.3">
      <c r="A58" s="4" t="s">
        <v>197</v>
      </c>
      <c r="B58" s="5" t="s">
        <v>198</v>
      </c>
      <c r="C58" s="7">
        <f>IF(ISNUMBER(VLOOKUP("7.2",A6:Q98,3,FALSE)),ROUND(VLOOKUP("7.2",A6:Q98,3,FALSE),4),0) + IF(ISNUMBER(VLOOKUP("10.11.x",A6:Q98,3,FALSE)),ROUND(VLOOKUP("10.11.x",A6:Q98,3,FALSE),4),0)</f>
        <v>0</v>
      </c>
      <c r="D58" s="7">
        <f>IF(ISNUMBER(VLOOKUP("7.2",A6:Q98,4,FALSE)),ROUND(VLOOKUP("7.2",A6:Q98,4,FALSE),4),0) + IF(ISNUMBER(VLOOKUP("10.11.x",A6:Q98,4,FALSE)),ROUND(VLOOKUP("10.11.x",A6:Q98,4,FALSE),4),0)</f>
        <v>0</v>
      </c>
      <c r="E58" s="7">
        <f>IF(ISNUMBER(VLOOKUP("7.2",A6:Q98,5,FALSE)),ROUND(VLOOKUP("7.2",A6:Q98,5,FALSE),4),0) + IF(ISNUMBER(VLOOKUP("10.11.x",A6:Q98,5,FALSE)),ROUND(VLOOKUP("10.11.x",A6:Q98,5,FALSE),4),0)</f>
        <v>0</v>
      </c>
      <c r="F58" s="7">
        <f>IF(ISNUMBER(VLOOKUP("7.2",A6:Q98,6,FALSE)),ROUND(VLOOKUP("7.2",A6:Q98,6,FALSE),4),0) + IF(ISNUMBER(VLOOKUP("10.11.x",A6:Q98,6,FALSE)),ROUND(VLOOKUP("10.11.x",A6:Q98,6,FALSE),4),0)</f>
        <v>0</v>
      </c>
      <c r="G58" s="7">
        <f>IF(ISNUMBER(VLOOKUP("7.2",A6:Q98,7,FALSE)),ROUND(VLOOKUP("7.2",A6:Q98,7,FALSE),4),0) + IF(ISNUMBER(VLOOKUP("10.11.x",A6:Q98,7,FALSE)),ROUND(VLOOKUP("10.11.x",A6:Q98,7,FALSE),4),0)</f>
        <v>0</v>
      </c>
      <c r="H58" s="7">
        <f>IF(ISNUMBER(VLOOKUP("7.2",A6:Q98,8,FALSE)),ROUND(VLOOKUP("7.2",A6:Q98,8,FALSE),4),0) + IF(ISNUMBER(VLOOKUP("10.11.x",A6:Q98,8,FALSE)),ROUND(VLOOKUP("10.11.x",A6:Q98,8,FALSE),4),0)</f>
        <v>0</v>
      </c>
      <c r="I58" s="7">
        <f>IF(ISNUMBER(VLOOKUP("7.2",A6:Q98,9,FALSE)),ROUND(VLOOKUP("7.2",A6:Q98,9,FALSE),4),0) + IF(ISNUMBER(VLOOKUP("10.11.x",A6:Q98,9,FALSE)),ROUND(VLOOKUP("10.11.x",A6:Q98,9,FALSE),4),0)</f>
        <v>0</v>
      </c>
      <c r="J58" s="7">
        <f>IF(ISNUMBER(VLOOKUP("7.2",A6:Q98,10,FALSE)),ROUND(VLOOKUP("7.2",A6:Q98,10,FALSE),4),0) + IF(ISNUMBER(VLOOKUP("10.11.x",A6:Q98,10,FALSE)),ROUND(VLOOKUP("10.11.x",A6:Q98,10,FALSE),4),0)</f>
        <v>0</v>
      </c>
      <c r="K58" s="22">
        <v>11697605</v>
      </c>
      <c r="L58" s="22">
        <v>8224611</v>
      </c>
      <c r="M58" s="22">
        <v>8922077</v>
      </c>
      <c r="N58" s="22">
        <v>9286890</v>
      </c>
      <c r="O58" s="22">
        <v>9630671</v>
      </c>
      <c r="P58" s="22">
        <v>9979658</v>
      </c>
      <c r="Q58" s="22">
        <v>10304439</v>
      </c>
    </row>
    <row r="59" spans="1:17" ht="24.75" customHeight="1" x14ac:dyDescent="0.3">
      <c r="A59" s="1" t="s">
        <v>117</v>
      </c>
      <c r="B59" s="2" t="s">
        <v>118</v>
      </c>
      <c r="C59" s="29" t="s">
        <v>114</v>
      </c>
      <c r="D59" s="29" t="s">
        <v>114</v>
      </c>
      <c r="E59" s="29" t="s">
        <v>114</v>
      </c>
      <c r="F59" s="29" t="s">
        <v>114</v>
      </c>
      <c r="G59" s="29" t="s">
        <v>114</v>
      </c>
      <c r="H59" s="29" t="s">
        <v>114</v>
      </c>
      <c r="I59" s="29" t="s">
        <v>114</v>
      </c>
      <c r="J59" s="29" t="s">
        <v>114</v>
      </c>
      <c r="K59" s="30" t="s">
        <v>114</v>
      </c>
      <c r="L59" s="30" t="s">
        <v>114</v>
      </c>
      <c r="M59" s="30" t="s">
        <v>114</v>
      </c>
      <c r="N59" s="30" t="s">
        <v>114</v>
      </c>
      <c r="O59" s="30" t="s">
        <v>114</v>
      </c>
      <c r="P59" s="30" t="s">
        <v>114</v>
      </c>
      <c r="Q59" s="30" t="s">
        <v>114</v>
      </c>
    </row>
    <row r="60" spans="1:17" ht="63.75" customHeight="1" x14ac:dyDescent="0.3">
      <c r="A60" s="9" t="s">
        <v>119</v>
      </c>
      <c r="B60" s="10" t="s">
        <v>120</v>
      </c>
      <c r="C60" s="11">
        <f>(IF(ISNUMBER(VLOOKUP("5.1",A6:Q98,3,FALSE)),ROUND(VLOOKUP("5.1",A6:Q98,3,FALSE),4),0) - IF(ISNUMBER(VLOOKUP("5.1.1",A6:Q98,3,FALSE)),ROUND(VLOOKUP("5.1.1",A6:Q98,3,FALSE),4),0) + IF(ISNUMBER(VLOOKUP("10.7.2.1",A6:Q98,3,FALSE)),ROUND(VLOOKUP("10.7.2.1",A6:Q98,3,FALSE),4),0) - IF(ISNUMBER(VLOOKUP("10.9",A6:Q98,3,FALSE)),ROUND(VLOOKUP("10.9",A6:Q98,3,FALSE),4),0) + IF(ISNUMBER(VLOOKUP("2.1.2",A6:Q98,3,FALSE)),ROUND(VLOOKUP("2.1.2",A6:Q98,3,FALSE),4),0) - IF(ISNUMBER(VLOOKUP("2.1.2.1",A6:Q98,3,FALSE)),ROUND(VLOOKUP("2.1.2.1",A6:Q98,3,FALSE),4),0) + IF(ISNUMBER(VLOOKUP("2.1.3",A6:Q98,3,FALSE)),ROUND(VLOOKUP("2.1.3",A6:Q98,3,FALSE),4),0) - (IF(ISNUMBER(VLOOKUP("2.1.3.1",A6:Q98,3,FALSE)),ROUND(VLOOKUP("2.1.3.1",A6:Q98,3,FALSE),4),0) + IF(ISNUMBER(VLOOKUP("2.1.3.2",A6:Q98,3,FALSE)),ROUND(VLOOKUP("2.1.3.2",A6:Q98,3,FALSE),4),0) + IF(ISNA(VLOOKUP("2.1.3.3",A6:Q98,3,FALSE)),0,ROUND(VLOOKUP("2.1.3.3",A6:Q98,3,FALSE),4))) + IF(ISNUMBER(VLOOKUP("10.4",A6:Q98,3,FALSE)),ROUND(VLOOKUP("10.4",A6:Q98,3,FALSE),4),0)) / (IF(ISNUMBER(VLOOKUP("1.1",A6:Q98,3,FALSE)),ROUND(VLOOKUP("1.1",A6:Q98,3,FALSE),4),0) - IF(ISNUMBER(VLOOKUP("1.1.4",A6:Q98,3,FALSE)),ROUND(VLOOKUP("1.1.4",A6:Q98,3,FALSE),4),0) - IF(ISNA(VLOOKUP("11.1.1",A6:Q98,3,FALSE)),0,ROUND(VLOOKUP("11.1.1",A6:Q98,3,FALSE),4)))</f>
        <v>4.1544367747558368E-2</v>
      </c>
      <c r="D60" s="11">
        <f>(IF(ISNUMBER(VLOOKUP("5.1",A6:Q98,4,FALSE)),ROUND(VLOOKUP("5.1",A6:Q98,4,FALSE),4),0) - IF(ISNUMBER(VLOOKUP("5.1.1",A6:Q98,4,FALSE)),ROUND(VLOOKUP("5.1.1",A6:Q98,4,FALSE),4),0) + IF(ISNUMBER(VLOOKUP("10.7.2.1",A6:Q98,4,FALSE)),ROUND(VLOOKUP("10.7.2.1",A6:Q98,4,FALSE),4),0) - IF(ISNUMBER(VLOOKUP("10.9",A6:Q98,4,FALSE)),ROUND(VLOOKUP("10.9",A6:Q98,4,FALSE),4),0) + IF(ISNUMBER(VLOOKUP("2.1.2",A6:Q98,4,FALSE)),ROUND(VLOOKUP("2.1.2",A6:Q98,4,FALSE),4),0) - IF(ISNUMBER(VLOOKUP("2.1.2.1",A6:Q98,4,FALSE)),ROUND(VLOOKUP("2.1.2.1",A6:Q98,4,FALSE),4),0) + IF(ISNUMBER(VLOOKUP("2.1.3",A6:Q98,4,FALSE)),ROUND(VLOOKUP("2.1.3",A6:Q98,4,FALSE),4),0) - (IF(ISNUMBER(VLOOKUP("2.1.3.1",A6:Q98,4,FALSE)),ROUND(VLOOKUP("2.1.3.1",A6:Q98,4,FALSE),4),0) + IF(ISNUMBER(VLOOKUP("2.1.3.2",A6:Q98,4,FALSE)),ROUND(VLOOKUP("2.1.3.2",A6:Q98,4,FALSE),4),0) + IF(ISNA(VLOOKUP("2.1.3.3",A6:Q98,4,FALSE)),0,ROUND(VLOOKUP("2.1.3.3",A6:Q98,4,FALSE),4))) + IF(ISNUMBER(VLOOKUP("10.4",A6:Q98,4,FALSE)),ROUND(VLOOKUP("10.4",A6:Q98,4,FALSE),4),0)) / (IF(ISNUMBER(VLOOKUP("1.1",A6:Q98,4,FALSE)),ROUND(VLOOKUP("1.1",A6:Q98,4,FALSE),4),0) - IF(ISNUMBER(VLOOKUP("1.1.4",A6:Q98,4,FALSE)),ROUND(VLOOKUP("1.1.4",A6:Q98,4,FALSE),4),0) - IF(ISNA(VLOOKUP("11.1.1",A6:Q98,4,FALSE)),0,ROUND(VLOOKUP("11.1.1",A6:Q98,4,FALSE),4)))</f>
        <v>3.8480696896784218E-2</v>
      </c>
      <c r="E60" s="11">
        <f>(IF(ISNUMBER(VLOOKUP("5.1",A6:Q98,5,FALSE)),ROUND(VLOOKUP("5.1",A6:Q98,5,FALSE),4),0) - IF(ISNUMBER(VLOOKUP("5.1.1",A6:Q98,5,FALSE)),ROUND(VLOOKUP("5.1.1",A6:Q98,5,FALSE),4),0) + IF(ISNUMBER(VLOOKUP("10.7.2.1",A6:Q98,5,FALSE)),ROUND(VLOOKUP("10.7.2.1",A6:Q98,5,FALSE),4),0) - IF(ISNUMBER(VLOOKUP("10.9",A6:Q98,5,FALSE)),ROUND(VLOOKUP("10.9",A6:Q98,5,FALSE),4),0) + IF(ISNUMBER(VLOOKUP("2.1.2",A6:Q98,5,FALSE)),ROUND(VLOOKUP("2.1.2",A6:Q98,5,FALSE),4),0) - IF(ISNUMBER(VLOOKUP("2.1.2.1",A6:Q98,5,FALSE)),ROUND(VLOOKUP("2.1.2.1",A6:Q98,5,FALSE),4),0) + IF(ISNUMBER(VLOOKUP("2.1.3",A6:Q98,5,FALSE)),ROUND(VLOOKUP("2.1.3",A6:Q98,5,FALSE),4),0) - (IF(ISNUMBER(VLOOKUP("2.1.3.1",A6:Q98,5,FALSE)),ROUND(VLOOKUP("2.1.3.1",A6:Q98,5,FALSE),4),0) + IF(ISNUMBER(VLOOKUP("2.1.3.2",A6:Q98,5,FALSE)),ROUND(VLOOKUP("2.1.3.2",A6:Q98,5,FALSE),4),0) + IF(ISNA(VLOOKUP("2.1.3.3",A6:Q98,5,FALSE)),0,ROUND(VLOOKUP("2.1.3.3",A6:Q98,5,FALSE),4))) + IF(ISNUMBER(VLOOKUP("10.4",A6:Q98,5,FALSE)),ROUND(VLOOKUP("10.4",A6:Q98,5,FALSE),4),0)) / (IF(ISNUMBER(VLOOKUP("1.1",A6:Q98,5,FALSE)),ROUND(VLOOKUP("1.1",A6:Q98,5,FALSE),4),0) - IF(ISNUMBER(VLOOKUP("1.1.4",A6:Q98,5,FALSE)),ROUND(VLOOKUP("1.1.4",A6:Q98,5,FALSE),4),0) - IF(ISNA(VLOOKUP("11.1.1",A6:Q98,5,FALSE)),0,ROUND(VLOOKUP("11.1.1",A6:Q98,5,FALSE),4)))</f>
        <v>1.9500049832200481E-2</v>
      </c>
      <c r="F60" s="11">
        <f>(IF(ISNUMBER(VLOOKUP("5.1",A6:Q98,6,FALSE)),ROUND(VLOOKUP("5.1",A6:Q98,6,FALSE),4),0) - IF(ISNUMBER(VLOOKUP("5.1.1",A6:Q98,6,FALSE)),ROUND(VLOOKUP("5.1.1",A6:Q98,6,FALSE),4),0) + IF(ISNUMBER(VLOOKUP("10.7.2.1",A6:Q98,6,FALSE)),ROUND(VLOOKUP("10.7.2.1",A6:Q98,6,FALSE),4),0) - IF(ISNUMBER(VLOOKUP("10.9",A6:Q98,6,FALSE)),ROUND(VLOOKUP("10.9",A6:Q98,6,FALSE),4),0) + IF(ISNUMBER(VLOOKUP("2.1.2",A6:Q98,6,FALSE)),ROUND(VLOOKUP("2.1.2",A6:Q98,6,FALSE),4),0) - IF(ISNUMBER(VLOOKUP("2.1.2.1",A6:Q98,6,FALSE)),ROUND(VLOOKUP("2.1.2.1",A6:Q98,6,FALSE),4),0) + IF(ISNUMBER(VLOOKUP("2.1.3",A6:Q98,6,FALSE)),ROUND(VLOOKUP("2.1.3",A6:Q98,6,FALSE),4),0) - (IF(ISNUMBER(VLOOKUP("2.1.3.1",A6:Q98,6,FALSE)),ROUND(VLOOKUP("2.1.3.1",A6:Q98,6,FALSE),4),0) + IF(ISNUMBER(VLOOKUP("2.1.3.2",A6:Q98,6,FALSE)),ROUND(VLOOKUP("2.1.3.2",A6:Q98,6,FALSE),4),0) + IF(ISNA(VLOOKUP("2.1.3.3",A6:Q98,6,FALSE)),0,ROUND(VLOOKUP("2.1.3.3",A6:Q98,6,FALSE),4))) + IF(ISNUMBER(VLOOKUP("10.4",A6:Q98,6,FALSE)),ROUND(VLOOKUP("10.4",A6:Q98,6,FALSE),4),0)) / (IF(ISNUMBER(VLOOKUP("1.1",A6:Q98,6,FALSE)),ROUND(VLOOKUP("1.1",A6:Q98,6,FALSE),4),0) - IF(ISNUMBER(VLOOKUP("1.1.4",A6:Q98,6,FALSE)),ROUND(VLOOKUP("1.1.4",A6:Q98,6,FALSE),4),0) - IF(ISNA(VLOOKUP("11.1.1",A6:Q98,6,FALSE)),0,ROUND(VLOOKUP("11.1.1",A6:Q98,6,FALSE),4)))</f>
        <v>2.047655251269247E-2</v>
      </c>
      <c r="G60" s="11">
        <f>(IF(ISNUMBER(VLOOKUP("5.1",A6:Q98,7,FALSE)),ROUND(VLOOKUP("5.1",A6:Q98,7,FALSE),4),0) - IF(ISNUMBER(VLOOKUP("5.1.1",A6:Q98,7,FALSE)),ROUND(VLOOKUP("5.1.1",A6:Q98,7,FALSE),4),0) + IF(ISNUMBER(VLOOKUP("10.7.2.1",A6:Q98,7,FALSE)),ROUND(VLOOKUP("10.7.2.1",A6:Q98,7,FALSE),4),0) - IF(ISNUMBER(VLOOKUP("10.9",A6:Q98,7,FALSE)),ROUND(VLOOKUP("10.9",A6:Q98,7,FALSE),4),0) + IF(ISNUMBER(VLOOKUP("2.1.3",A6:Q98,7,FALSE)),ROUND(VLOOKUP("2.1.3",A6:Q98,7,FALSE),4),0) - (IF(ISNUMBER(VLOOKUP("2.1.3.1",A6:Q98,7,FALSE)),ROUND(VLOOKUP("2.1.3.1",A6:Q98,7,FALSE),4),0) + IF(ISNUMBER(VLOOKUP("2.1.3.2",A6:Q98,7,FALSE)),ROUND(VLOOKUP("2.1.3.2",A6:Q98,7,FALSE),4),0) + IF(ISNA(VLOOKUP("2.1.3.3",A6:Q98,7,FALSE)),0,ROUND(VLOOKUP("2.1.3.3",A6:Q98,7,FALSE),4))) + IF(ISNUMBER(VLOOKUP("10.4",A6:Q98,7,FALSE)),ROUND(VLOOKUP("10.4",A6:Q98,7,FALSE),4),0)) / (IF(ISNUMBER(VLOOKUP("1.1",A6:Q98,7,FALSE)),ROUND(VLOOKUP("1.1",A6:Q98,7,FALSE),4),0) - IF(ISNUMBER(VLOOKUP("1.1.4",A6:Q98,7,FALSE)),ROUND(VLOOKUP("1.1.4",A6:Q98,7,FALSE),4),0) - IF(ISNA(VLOOKUP("11.1.1",A6:Q98,7,FALSE)),0,ROUND(VLOOKUP("11.1.1",A6:Q98,7,FALSE),4)))</f>
        <v>2.3845917057735481E-2</v>
      </c>
      <c r="H60" s="11">
        <f>(IF(ISNUMBER(VLOOKUP("5.1",A6:Q98,8,FALSE)),ROUND(VLOOKUP("5.1",A6:Q98,8,FALSE),4),0) - IF(ISNUMBER(VLOOKUP("5.1.1",A6:Q98,8,FALSE)),ROUND(VLOOKUP("5.1.1",A6:Q98,8,FALSE),4),0) + IF(ISNUMBER(VLOOKUP("10.7.2.1",A6:Q98,8,FALSE)),ROUND(VLOOKUP("10.7.2.1",A6:Q98,8,FALSE),4),0) - IF(ISNUMBER(VLOOKUP("10.9",A6:Q98,8,FALSE)),ROUND(VLOOKUP("10.9",A6:Q98,8,FALSE),4),0) + IF(ISNUMBER(VLOOKUP("2.1.3",A6:Q98,8,FALSE)),ROUND(VLOOKUP("2.1.3",A6:Q98,8,FALSE),4),0) - (IF(ISNUMBER(VLOOKUP("2.1.3.1",A6:Q98,8,FALSE)),ROUND(VLOOKUP("2.1.3.1",A6:Q98,8,FALSE),4),0) + IF(ISNUMBER(VLOOKUP("2.1.3.2",A6:Q98,8,FALSE)),ROUND(VLOOKUP("2.1.3.2",A6:Q98,8,FALSE),4),0) + IF(ISNA(VLOOKUP("2.1.3.3",A6:Q98,8,FALSE)),0,ROUND(VLOOKUP("2.1.3.3",A6:Q98,8,FALSE),4))) + IF(ISNUMBER(VLOOKUP("10.4",A6:Q98,8,FALSE)),ROUND(VLOOKUP("10.4",A6:Q98,8,FALSE),4),0)) / (IF(ISNUMBER(VLOOKUP("1.1",A6:Q98,8,FALSE)),ROUND(VLOOKUP("1.1",A6:Q98,8,FALSE),4),0) - IF(ISNUMBER(VLOOKUP("1.1.4",A6:Q98,8,FALSE)),ROUND(VLOOKUP("1.1.4",A6:Q98,8,FALSE),4),0) - IF(ISNA(VLOOKUP("11.1.1",A6:Q98,8,FALSE)),0,ROUND(VLOOKUP("11.1.1",A6:Q98,8,FALSE),4)))</f>
        <v>2.0012849922676698E-2</v>
      </c>
      <c r="I60" s="11">
        <f>(IF(ISNUMBER(VLOOKUP("5.1",A6:Q98,9,FALSE)),ROUND(VLOOKUP("5.1",A6:Q98,9,FALSE),4),0) - IF(ISNUMBER(VLOOKUP("5.1.1",A6:Q98,9,FALSE)),ROUND(VLOOKUP("5.1.1",A6:Q98,9,FALSE),4),0) + IF(ISNUMBER(VLOOKUP("10.7.2.1",A6:Q98,9,FALSE)),ROUND(VLOOKUP("10.7.2.1",A6:Q98,9,FALSE),4),0) - IF(ISNUMBER(VLOOKUP("10.9",A6:Q98,9,FALSE)),ROUND(VLOOKUP("10.9",A6:Q98,9,FALSE),4),0) + IF(ISNUMBER(VLOOKUP("2.1.3",A6:Q98,9,FALSE)),ROUND(VLOOKUP("2.1.3",A6:Q98,9,FALSE),4),0) - (IF(ISNUMBER(VLOOKUP("2.1.3.1",A6:Q98,9,FALSE)),ROUND(VLOOKUP("2.1.3.1",A6:Q98,9,FALSE),4),0) + IF(ISNUMBER(VLOOKUP("2.1.3.2",A6:Q98,9,FALSE)),ROUND(VLOOKUP("2.1.3.2",A6:Q98,9,FALSE),4),0) + IF(ISNA(VLOOKUP("2.1.3.3",A6:Q98,9,FALSE)),0,ROUND(VLOOKUP("2.1.3.3",A6:Q98,9,FALSE),4))) + IF(ISNUMBER(VLOOKUP("10.4",A6:Q98,9,FALSE)),ROUND(VLOOKUP("10.4",A6:Q98,9,FALSE),4),0)) / (IF(ISNUMBER(VLOOKUP("1.1",A6:Q98,9,FALSE)),ROUND(VLOOKUP("1.1",A6:Q98,9,FALSE),4),0) - IF(ISNUMBER(VLOOKUP("1.1.4",A6:Q98,9,FALSE)),ROUND(VLOOKUP("1.1.4",A6:Q98,9,FALSE),4),0) - IF(ISNA(VLOOKUP("11.1.1",A6:Q98,9,FALSE)),0,ROUND(VLOOKUP("11.1.1",A6:Q98,9,FALSE),4)))</f>
        <v>2.1931844936253796E-2</v>
      </c>
      <c r="J60" s="11">
        <f>(IF(ISNUMBER(VLOOKUP("5.1",A6:Q98,10,FALSE)),ROUND(VLOOKUP("5.1",A6:Q98,10,FALSE),4),0) - IF(ISNUMBER(VLOOKUP("5.1.1",A6:Q98,10,FALSE)),ROUND(VLOOKUP("5.1.1",A6:Q98,10,FALSE),4),0) + IF(ISNUMBER(VLOOKUP("10.7.2.1",A6:Q98,10,FALSE)),ROUND(VLOOKUP("10.7.2.1",A6:Q98,10,FALSE),4),0) - IF(ISNUMBER(VLOOKUP("10.9",A6:Q98,10,FALSE)),ROUND(VLOOKUP("10.9",A6:Q98,10,FALSE),4),0) + IF(ISNUMBER(VLOOKUP("2.1.3",A6:Q98,10,FALSE)),ROUND(VLOOKUP("2.1.3",A6:Q98,10,FALSE),4),0) - (IF(ISNUMBER(VLOOKUP("2.1.3.1",A6:Q98,10,FALSE)),ROUND(VLOOKUP("2.1.3.1",A6:Q98,10,FALSE),4),0) + IF(ISNUMBER(VLOOKUP("2.1.3.2",A6:Q98,10,FALSE)),ROUND(VLOOKUP("2.1.3.2",A6:Q98,10,FALSE),4),0) + IF(ISNA(VLOOKUP("2.1.3.3",A6:Q98,10,FALSE)),0,ROUND(VLOOKUP("2.1.3.3",A6:Q98,10,FALSE),4))) + IF(ISNUMBER(VLOOKUP("10.4",A6:Q98,10,FALSE)),ROUND(VLOOKUP("10.4",A6:Q98,10,FALSE),4),0)) / (IF(ISNUMBER(VLOOKUP("1.1",A6:Q98,10,FALSE)),ROUND(VLOOKUP("1.1",A6:Q98,10,FALSE),4),0) - IF(ISNUMBER(VLOOKUP("1.1.4",A6:Q98,10,FALSE)),ROUND(VLOOKUP("1.1.4",A6:Q98,10,FALSE),4),0) - IF(ISNA(VLOOKUP("11.1.1",A6:Q98,10,FALSE)),0,ROUND(VLOOKUP("11.1.1",A6:Q98,10,FALSE),4)))</f>
        <v>1.9105639538842426E-2</v>
      </c>
      <c r="K60" s="24">
        <v>1.9718328343867893E-2</v>
      </c>
      <c r="L60" s="24">
        <v>1.7841727571552911E-2</v>
      </c>
      <c r="M60" s="24">
        <v>1.5467154466347081E-2</v>
      </c>
      <c r="N60" s="24">
        <v>1.4203697063295821E-2</v>
      </c>
      <c r="O60" s="24">
        <v>1.2997259529756527E-2</v>
      </c>
      <c r="P60" s="24">
        <v>1.0912573272002865E-2</v>
      </c>
      <c r="Q60" s="24">
        <v>9.9232818583546035E-3</v>
      </c>
    </row>
    <row r="61" spans="1:17" ht="35.1" customHeight="1" x14ac:dyDescent="0.3">
      <c r="A61" s="9" t="s">
        <v>121</v>
      </c>
      <c r="B61" s="10" t="s">
        <v>122</v>
      </c>
      <c r="C61" s="11">
        <f>((IF(ISNUMBER(VLOOKUP("1.1",A6:Q98,3,FALSE)),ROUND(VLOOKUP("1.1",A6:Q98,3,FALSE),4),0) - IF(ISNUMBER(VLOOKUP("9.1.1",A6:Q98,3,FALSE)),ROUND(VLOOKUP("9.1.1",A6:Q98,3,FALSE),4),0) - IF(ISNA(VLOOKUP("11.1.1",A6:Q98,3,FALSE)),0,ROUND(VLOOKUP("11.1.1",A6:Q98,3,FALSE),4))) - (IF(ISNUMBER(VLOOKUP("2.1",A6:Q98,3,FALSE)),ROUND(VLOOKUP("2.1",A6:Q98,3,FALSE),4),0) - IF(ISNUMBER(VLOOKUP("9.3.1",A6:Q98,3,FALSE)),ROUND(VLOOKUP("9.3.1",A6:Q98,3,FALSE),4),0) - IF(ISNUMBER(VLOOKUP("10.7.2.1.1",A6:Q98,3,FALSE)),ROUND(VLOOKUP("10.7.2.1.1",A6:Q98,3,FALSE),4),0) - IF(ISNUMBER(VLOOKUP("2.1.3",A6:Q98,3,FALSE)),ROUND(VLOOKUP("2.1.3",A6:Q98,3,FALSE),4),0) - IF(ISNA(VLOOKUP("10.11",A6:Q98,3,FALSE)),0,ROUND(VLOOKUP("10.11",A6:Q98,3,FALSE),4)))) / (IF(ISNUMBER(VLOOKUP("1.1",A6:Q98,3,FALSE)),ROUND(VLOOKUP("1.1",A6:Q98,3,FALSE),4),0) - IF(ISNUMBER(VLOOKUP("1.1.4",A6:Q98,3,FALSE)),ROUND(VLOOKUP("1.1.4",A6:Q98,3,FALSE),4),0) - IF(ISNA(VLOOKUP("11.1.1",A6:Q98,3,FALSE)),0,ROUND(VLOOKUP("11.1.1",A6:Q98,3,FALSE),4)))</f>
        <v>0.51551470837216762</v>
      </c>
      <c r="D61" s="11">
        <f>((IF(ISNUMBER(VLOOKUP("1.1",A6:Q98,4,FALSE)),ROUND(VLOOKUP("1.1",A6:Q98,4,FALSE),4),0) - IF(ISNUMBER(VLOOKUP("9.1.1",A6:Q98,4,FALSE)),ROUND(VLOOKUP("9.1.1",A6:Q98,4,FALSE),4),0) - IF(ISNA(VLOOKUP("11.1.1",A6:Q98,4,FALSE)),0,ROUND(VLOOKUP("11.1.1",A6:Q98,4,FALSE),4))) - (IF(ISNUMBER(VLOOKUP("2.1",A6:Q98,4,FALSE)),ROUND(VLOOKUP("2.1",A6:Q98,4,FALSE),4),0) - IF(ISNUMBER(VLOOKUP("9.3.1",A6:Q98,4,FALSE)),ROUND(VLOOKUP("9.3.1",A6:Q98,4,FALSE),4),0) - IF(ISNUMBER(VLOOKUP("10.7.2.1.1",A6:Q98,4,FALSE)),ROUND(VLOOKUP("10.7.2.1.1",A6:Q98,4,FALSE),4),0) - IF(ISNUMBER(VLOOKUP("2.1.3",A6:Q98,4,FALSE)),ROUND(VLOOKUP("2.1.3",A6:Q98,4,FALSE),4),0) - IF(ISNA(VLOOKUP("10.11",A6:Q98,4,FALSE)),0,ROUND(VLOOKUP("10.11",A6:Q98,4,FALSE),4)))) / (IF(ISNUMBER(VLOOKUP("1.1",A6:Q98,4,FALSE)),ROUND(VLOOKUP("1.1",A6:Q98,4,FALSE),4),0) - IF(ISNUMBER(VLOOKUP("1.1.4",A6:Q98,4,FALSE)),ROUND(VLOOKUP("1.1.4",A6:Q98,4,FALSE),4),0) - IF(ISNA(VLOOKUP("11.1.1",A6:Q98,4,FALSE)),0,ROUND(VLOOKUP("11.1.1",A6:Q98,4,FALSE),4)))</f>
        <v>0.52259076260693149</v>
      </c>
      <c r="E61" s="11">
        <f>((IF(ISNUMBER(VLOOKUP("1.1",A6:Q98,5,FALSE)),ROUND(VLOOKUP("1.1",A6:Q98,5,FALSE),4),0) - IF(ISNUMBER(VLOOKUP("9.1.1",A6:Q98,5,FALSE)),ROUND(VLOOKUP("9.1.1",A6:Q98,5,FALSE),4),0) - IF(ISNA(VLOOKUP("11.1.1",A6:Q98,5,FALSE)),0,ROUND(VLOOKUP("11.1.1",A6:Q98,5,FALSE),4))) - (IF(ISNUMBER(VLOOKUP("2.1",A6:Q98,5,FALSE)),ROUND(VLOOKUP("2.1",A6:Q98,5,FALSE),4),0) - IF(ISNUMBER(VLOOKUP("9.3.1",A6:Q98,5,FALSE)),ROUND(VLOOKUP("9.3.1",A6:Q98,5,FALSE),4),0) - IF(ISNUMBER(VLOOKUP("10.7.2.1.1",A6:Q98,5,FALSE)),ROUND(VLOOKUP("10.7.2.1.1",A6:Q98,5,FALSE),4),0) - IF(ISNUMBER(VLOOKUP("2.1.3",A6:Q98,5,FALSE)),ROUND(VLOOKUP("2.1.3",A6:Q98,5,FALSE),4),0) - IF(ISNA(VLOOKUP("10.11",A6:Q98,5,FALSE)),0,ROUND(VLOOKUP("10.11",A6:Q98,5,FALSE),4)))) / (IF(ISNUMBER(VLOOKUP("1.1",A6:Q98,5,FALSE)),ROUND(VLOOKUP("1.1",A6:Q98,5,FALSE),4),0) - IF(ISNUMBER(VLOOKUP("1.1.4",A6:Q98,5,FALSE)),ROUND(VLOOKUP("1.1.4",A6:Q98,5,FALSE),4),0) - IF(ISNA(VLOOKUP("11.1.1",A6:Q98,5,FALSE)),0,ROUND(VLOOKUP("11.1.1",A6:Q98,5,FALSE),4)))</f>
        <v>0.50807786205780503</v>
      </c>
      <c r="F61" s="11">
        <f>((IF(ISNUMBER(VLOOKUP("1.1",A6:Q98,6,FALSE)),ROUND(VLOOKUP("1.1",A6:Q98,6,FALSE),4),0) - IF(ISNUMBER(VLOOKUP("9.1.1",A6:Q98,6,FALSE)),ROUND(VLOOKUP("9.1.1",A6:Q98,6,FALSE),4),0) - IF(ISNA(VLOOKUP("11.1.1",A6:Q98,6,FALSE)),0,ROUND(VLOOKUP("11.1.1",A6:Q98,6,FALSE),4))) - (IF(ISNUMBER(VLOOKUP("2.1",A6:Q98,6,FALSE)),ROUND(VLOOKUP("2.1",A6:Q98,6,FALSE),4),0) - IF(ISNUMBER(VLOOKUP("9.3.1",A6:Q98,6,FALSE)),ROUND(VLOOKUP("9.3.1",A6:Q98,6,FALSE),4),0) - IF(ISNUMBER(VLOOKUP("10.7.2.1.1",A6:Q98,6,FALSE)),ROUND(VLOOKUP("10.7.2.1.1",A6:Q98,6,FALSE),4),0) - IF(ISNUMBER(VLOOKUP("2.1.3",A6:Q98,6,FALSE)),ROUND(VLOOKUP("2.1.3",A6:Q98,6,FALSE),4),0) - IF(ISNA(VLOOKUP("10.11",A6:Q98,6,FALSE)),0,ROUND(VLOOKUP("10.11",A6:Q98,6,FALSE),4)))) / (IF(ISNUMBER(VLOOKUP("1.1",A6:Q98,6,FALSE)),ROUND(VLOOKUP("1.1",A6:Q98,6,FALSE),4),0) - IF(ISNUMBER(VLOOKUP("1.1.4",A6:Q98,6,FALSE)),ROUND(VLOOKUP("1.1.4",A6:Q98,6,FALSE),4),0) - IF(ISNA(VLOOKUP("11.1.1",A6:Q98,6,FALSE)),0,ROUND(VLOOKUP("11.1.1",A6:Q98,6,FALSE),4)))</f>
        <v>0.54302705009595575</v>
      </c>
      <c r="G61" s="11">
        <f>((IF(ISNUMBER(VLOOKUP("1.1",A6:Q98,7,FALSE)),ROUND(VLOOKUP("1.1",A6:Q98,7,FALSE),4),0) - IF(ISNUMBER(VLOOKUP("9.1.1",A6:Q98,7,FALSE)),ROUND(VLOOKUP("9.1.1",A6:Q98,7,FALSE),4),0) - IF(ISNA(VLOOKUP("11.1.1",A6:Q98,7,FALSE)),0,ROUND(VLOOKUP("11.1.1",A6:Q98,7,FALSE),4))) - (IF(ISNUMBER(VLOOKUP("2.1",A6:Q98,7,FALSE)),ROUND(VLOOKUP("2.1",A6:Q98,7,FALSE),4),0) - IF(ISNUMBER(VLOOKUP("9.3.1",A6:Q98,7,FALSE)),ROUND(VLOOKUP("9.3.1",A6:Q98,7,FALSE),4),0) - IF(ISNUMBER(VLOOKUP("10.7.2.1.1",A6:Q98,7,FALSE)),ROUND(VLOOKUP("10.7.2.1.1",A6:Q98,7,FALSE),4),0) - IF(ISNUMBER(VLOOKUP("2.1.3",A6:Q98,7,FALSE)),ROUND(VLOOKUP("2.1.3",A6:Q98,7,FALSE),4),0) - IF(ISNA(VLOOKUP("10.11",A6:Q98,7,FALSE)),0,ROUND(VLOOKUP("10.11",A6:Q98,7,FALSE),4)))) / (IF(ISNUMBER(VLOOKUP("1.1",A6:Q98,7,FALSE)),ROUND(VLOOKUP("1.1",A6:Q98,7,FALSE),4),0) - IF(ISNUMBER(VLOOKUP("1.1.4",A6:Q98,7,FALSE)),ROUND(VLOOKUP("1.1.4",A6:Q98,7,FALSE),4),0) - IF(ISNA(VLOOKUP("11.1.1",A6:Q98,7,FALSE)),0,ROUND(VLOOKUP("11.1.1",A6:Q98,7,FALSE),4)))</f>
        <v>0.46515046200227445</v>
      </c>
      <c r="H61" s="11">
        <f>((IF(ISNUMBER(VLOOKUP("1.1",A6:Q98,8,FALSE)),ROUND(VLOOKUP("1.1",A6:Q98,8,FALSE),4),0) - IF(ISNUMBER(VLOOKUP("9.1.1",A6:Q98,8,FALSE)),ROUND(VLOOKUP("9.1.1",A6:Q98,8,FALSE),4),0) - IF(ISNA(VLOOKUP("11.1.1",A6:Q98,8,FALSE)),0,ROUND(VLOOKUP("11.1.1",A6:Q98,8,FALSE),4))) - (IF(ISNUMBER(VLOOKUP("2.1",A6:Q98,8,FALSE)),ROUND(VLOOKUP("2.1",A6:Q98,8,FALSE),4),0) - IF(ISNUMBER(VLOOKUP("9.3.1",A6:Q98,8,FALSE)),ROUND(VLOOKUP("9.3.1",A6:Q98,8,FALSE),4),0) - IF(ISNUMBER(VLOOKUP("10.7.2.1.1",A6:Q98,8,FALSE)),ROUND(VLOOKUP("10.7.2.1.1",A6:Q98,8,FALSE),4),0) - IF(ISNUMBER(VLOOKUP("2.1.3",A6:Q98,8,FALSE)),ROUND(VLOOKUP("2.1.3",A6:Q98,8,FALSE),4),0) - IF(ISNA(VLOOKUP("10.11",A6:Q98,8,FALSE)),0,ROUND(VLOOKUP("10.11",A6:Q98,8,FALSE),4)))) / (IF(ISNUMBER(VLOOKUP("1.1",A6:Q98,8,FALSE)),ROUND(VLOOKUP("1.1",A6:Q98,8,FALSE),4),0) - IF(ISNUMBER(VLOOKUP("1.1.4",A6:Q98,8,FALSE)),ROUND(VLOOKUP("1.1.4",A6:Q98,8,FALSE),4),0) - IF(ISNA(VLOOKUP("11.1.1",A6:Q98,8,FALSE)),0,ROUND(VLOOKUP("11.1.1",A6:Q98,8,FALSE),4)))</f>
        <v>0.51538927578851434</v>
      </c>
      <c r="I61" s="11">
        <f>((IF(ISNUMBER(VLOOKUP("1.1",A6:Q98,9,FALSE)),ROUND(VLOOKUP("1.1",A6:Q98,9,FALSE),4),0) - IF(ISNUMBER(VLOOKUP("9.1.1",A6:Q98,9,FALSE)),ROUND(VLOOKUP("9.1.1",A6:Q98,9,FALSE),4),0) - IF(ISNA(VLOOKUP("11.1.1",A6:Q98,9,FALSE)),0,ROUND(VLOOKUP("11.1.1",A6:Q98,9,FALSE),4))) - (IF(ISNUMBER(VLOOKUP("2.1",A6:Q98,9,FALSE)),ROUND(VLOOKUP("2.1",A6:Q98,9,FALSE),4),0) - IF(ISNUMBER(VLOOKUP("9.3.1",A6:Q98,9,FALSE)),ROUND(VLOOKUP("9.3.1",A6:Q98,9,FALSE),4),0) - IF(ISNUMBER(VLOOKUP("10.7.2.1.1",A6:Q98,9,FALSE)),ROUND(VLOOKUP("10.7.2.1.1",A6:Q98,9,FALSE),4),0) - IF(ISNUMBER(VLOOKUP("2.1.3",A6:Q98,9,FALSE)),ROUND(VLOOKUP("2.1.3",A6:Q98,9,FALSE),4),0) - IF(ISNA(VLOOKUP("10.11",A6:Q98,9,FALSE)),0,ROUND(VLOOKUP("10.11",A6:Q98,9,FALSE),4)))) / (IF(ISNUMBER(VLOOKUP("1.1",A6:Q98,9,FALSE)),ROUND(VLOOKUP("1.1",A6:Q98,9,FALSE),4),0) - IF(ISNUMBER(VLOOKUP("1.1.4",A6:Q98,9,FALSE)),ROUND(VLOOKUP("1.1.4",A6:Q98,9,FALSE),4),0) - IF(ISNA(VLOOKUP("11.1.1",A6:Q98,9,FALSE)),0,ROUND(VLOOKUP("11.1.1",A6:Q98,9,FALSE),4)))</f>
        <v>0.47540704818162444</v>
      </c>
      <c r="J61" s="11">
        <f>((IF(ISNUMBER(VLOOKUP("1.1",A6:Q98,10,FALSE)),ROUND(VLOOKUP("1.1",A6:Q98,10,FALSE),4),0) - IF(ISNUMBER(VLOOKUP("9.1.1",A6:Q98,10,FALSE)),ROUND(VLOOKUP("9.1.1",A6:Q98,10,FALSE),4),0) - IF(ISNA(VLOOKUP("11.1.1",A6:Q98,10,FALSE)),0,ROUND(VLOOKUP("11.1.1",A6:Q98,10,FALSE),4))) - (IF(ISNUMBER(VLOOKUP("2.1",A6:Q98,10,FALSE)),ROUND(VLOOKUP("2.1",A6:Q98,10,FALSE),4),0) - IF(ISNUMBER(VLOOKUP("9.3.1",A6:Q98,10,FALSE)),ROUND(VLOOKUP("9.3.1",A6:Q98,10,FALSE),4),0) - IF(ISNUMBER(VLOOKUP("10.7.2.1.1",A6:Q98,10,FALSE)),ROUND(VLOOKUP("10.7.2.1.1",A6:Q98,10,FALSE),4),0) - IF(ISNUMBER(VLOOKUP("2.1.3",A6:Q98,10,FALSE)),ROUND(VLOOKUP("2.1.3",A6:Q98,10,FALSE),4),0) - IF(ISNA(VLOOKUP("10.11",A6:Q98,10,FALSE)),0,ROUND(VLOOKUP("10.11",A6:Q98,10,FALSE),4)))) / (IF(ISNUMBER(VLOOKUP("1.1",A6:Q98,10,FALSE)),ROUND(VLOOKUP("1.1",A6:Q98,10,FALSE),4),0) - IF(ISNUMBER(VLOOKUP("1.1.4",A6:Q98,10,FALSE)),ROUND(VLOOKUP("1.1.4",A6:Q98,10,FALSE),4),0) - IF(ISNA(VLOOKUP("11.1.1",A6:Q98,10,FALSE)),0,ROUND(VLOOKUP("11.1.1",A6:Q98,10,FALSE),4)))</f>
        <v>0.53847148813168033</v>
      </c>
      <c r="K61" s="24">
        <v>8.9585530151229442E-2</v>
      </c>
      <c r="L61" s="24">
        <v>7.4947388309054577E-2</v>
      </c>
      <c r="M61" s="24">
        <v>7.7474424613531628E-2</v>
      </c>
      <c r="N61" s="24">
        <v>7.7446635483630108E-2</v>
      </c>
      <c r="O61" s="24">
        <v>7.6677436728145018E-2</v>
      </c>
      <c r="P61" s="24">
        <v>7.6611216419951819E-2</v>
      </c>
      <c r="Q61" s="24">
        <v>7.6478652425968241E-2</v>
      </c>
    </row>
    <row r="62" spans="1:17" ht="68.25" customHeight="1" x14ac:dyDescent="0.3">
      <c r="A62" s="9" t="s">
        <v>123</v>
      </c>
      <c r="B62" s="10" t="s">
        <v>124</v>
      </c>
      <c r="C62" s="11">
        <f t="shared" ref="C62:J63" si="0">0.15</f>
        <v>0.15</v>
      </c>
      <c r="D62" s="11">
        <f t="shared" si="0"/>
        <v>0.15</v>
      </c>
      <c r="E62" s="11">
        <f t="shared" si="0"/>
        <v>0.15</v>
      </c>
      <c r="F62" s="11">
        <f t="shared" si="0"/>
        <v>0.15</v>
      </c>
      <c r="G62" s="11">
        <f t="shared" si="0"/>
        <v>0.15</v>
      </c>
      <c r="H62" s="11">
        <f t="shared" si="0"/>
        <v>0.15</v>
      </c>
      <c r="I62" s="11">
        <f t="shared" si="0"/>
        <v>0.15</v>
      </c>
      <c r="J62" s="11">
        <f t="shared" si="0"/>
        <v>0.15</v>
      </c>
      <c r="K62" s="24">
        <v>9.8599999999999993E-2</v>
      </c>
      <c r="L62" s="24">
        <v>9.578571428571428E-2</v>
      </c>
      <c r="M62" s="24">
        <v>8.879999999999999E-2</v>
      </c>
      <c r="N62" s="24">
        <v>8.6028571428571426E-2</v>
      </c>
      <c r="O62" s="24">
        <v>8.1014285714285719E-2</v>
      </c>
      <c r="P62" s="24">
        <v>8.6442857142857141E-2</v>
      </c>
      <c r="Q62" s="24">
        <v>7.7171428571428571E-2</v>
      </c>
    </row>
    <row r="63" spans="1:17" ht="64.5" customHeight="1" x14ac:dyDescent="0.3">
      <c r="A63" s="9" t="s">
        <v>125</v>
      </c>
      <c r="B63" s="10" t="s">
        <v>126</v>
      </c>
      <c r="C63" s="11">
        <f t="shared" si="0"/>
        <v>0.15</v>
      </c>
      <c r="D63" s="11">
        <f t="shared" si="0"/>
        <v>0.15</v>
      </c>
      <c r="E63" s="11">
        <f t="shared" si="0"/>
        <v>0.15</v>
      </c>
      <c r="F63" s="11">
        <f t="shared" si="0"/>
        <v>0.15</v>
      </c>
      <c r="G63" s="11">
        <f t="shared" si="0"/>
        <v>0.15</v>
      </c>
      <c r="H63" s="11">
        <f t="shared" si="0"/>
        <v>0.15</v>
      </c>
      <c r="I63" s="11">
        <f t="shared" si="0"/>
        <v>0.15</v>
      </c>
      <c r="J63" s="11">
        <f t="shared" si="0"/>
        <v>0.15</v>
      </c>
      <c r="K63" s="24">
        <v>0.11201428571428571</v>
      </c>
      <c r="L63" s="24">
        <v>0.10919999999999999</v>
      </c>
      <c r="M63" s="24">
        <v>0.1022142857142857</v>
      </c>
      <c r="N63" s="24">
        <v>9.9442857142857138E-2</v>
      </c>
      <c r="O63" s="24">
        <v>9.4428571428571431E-2</v>
      </c>
      <c r="P63" s="24">
        <v>9.9857142857142853E-2</v>
      </c>
      <c r="Q63" s="24">
        <v>9.0585714285714283E-2</v>
      </c>
    </row>
    <row r="64" spans="1:17" ht="73.5" customHeight="1" x14ac:dyDescent="0.3">
      <c r="A64" s="1" t="s">
        <v>127</v>
      </c>
      <c r="B64" s="2" t="s">
        <v>128</v>
      </c>
      <c r="C64" s="12" t="str">
        <f>IF(IF(ISNUMBER(VLOOKUP("8.1",A6:Q98,3,FALSE)),ROUND(VLOOKUP("8.1",A6:Q98,3,FALSE),4),0) - IF(ISNUMBER(VLOOKUP("8.3",A6:Q98,3,FALSE)),ROUND(VLOOKUP("8.3",A6:Q98,3,FALSE),4),0) &lt;= 0, "Tak", "Nie")</f>
        <v>Tak</v>
      </c>
      <c r="D64" s="12" t="str">
        <f>IF(IF(ISNUMBER(VLOOKUP("8.1",A6:Q98,4,FALSE)),ROUND(VLOOKUP("8.1",A6:Q98,4,FALSE),4),0) - IF(ISNUMBER(VLOOKUP("8.3",A6:Q98,4,FALSE)),ROUND(VLOOKUP("8.3",A6:Q98,4,FALSE),4),0) &lt;= 0, "Tak", "Nie")</f>
        <v>Tak</v>
      </c>
      <c r="E64" s="12" t="str">
        <f>IF(IF(ISNUMBER(VLOOKUP("8.1",A6:Q98,5,FALSE)),ROUND(VLOOKUP("8.1",A6:Q98,5,FALSE),4),0) - IF(ISNUMBER(VLOOKUP("8.3",A6:Q98,5,FALSE)),ROUND(VLOOKUP("8.3",A6:Q98,5,FALSE),4),0) &lt;= 0, "Tak", "Nie")</f>
        <v>Tak</v>
      </c>
      <c r="F64" s="12" t="str">
        <f>IF(IF(ISNUMBER(VLOOKUP("8.1",A6:Q98,6,FALSE)),ROUND(VLOOKUP("8.1",A6:Q98,6,FALSE),4),0) - IF(ISNUMBER(VLOOKUP("8.3",A6:Q98,6,FALSE)),ROUND(VLOOKUP("8.3",A6:Q98,6,FALSE),4),0) &lt;= 0, "Tak", "Nie")</f>
        <v>Tak</v>
      </c>
      <c r="G64" s="12" t="str">
        <f>IF(IF(ISNUMBER(VLOOKUP("8.1",A6:Q98,7,FALSE)),ROUND(VLOOKUP("8.1",A6:Q98,7,FALSE),4),0) - IF(ISNUMBER(VLOOKUP("8.3",A6:Q98,7,FALSE)),ROUND(VLOOKUP("8.3",A6:Q98,7,FALSE),4),0) &lt;= 0, "Tak", "Nie")</f>
        <v>Tak</v>
      </c>
      <c r="H64" s="12" t="str">
        <f>IF(IF(ISNUMBER(VLOOKUP("8.1",A6:Q98,8,FALSE)),ROUND(VLOOKUP("8.1",A6:Q98,8,FALSE),4),0) - IF(ISNUMBER(VLOOKUP("8.3",A6:Q98,8,FALSE)),ROUND(VLOOKUP("8.3",A6:Q98,8,FALSE),4),0) &lt;= 0, "Tak", "Nie")</f>
        <v>Tak</v>
      </c>
      <c r="I64" s="12" t="str">
        <f>IF(IF(ISNUMBER(VLOOKUP("8.1",A6:Q98,9,FALSE)),ROUND(VLOOKUP("8.1",A6:Q98,9,FALSE),4),0) - IF(ISNUMBER(VLOOKUP("8.3",A6:Q98,9,FALSE)),ROUND(VLOOKUP("8.3",A6:Q98,9,FALSE),4),0) &lt;= 0, "Tak", "Nie")</f>
        <v>Tak</v>
      </c>
      <c r="J64" s="12" t="str">
        <f>IF(IF(ISNUMBER(VLOOKUP("8.1",A6:Q98,10,FALSE)),ROUND(VLOOKUP("8.1",A6:Q98,10,FALSE),4),0) - IF(ISNUMBER(VLOOKUP("8.3",A6:Q98,10,FALSE)),ROUND(VLOOKUP("8.3",A6:Q98,10,FALSE),4),0) &lt;= 0, "Tak", "Nie")</f>
        <v>Tak</v>
      </c>
      <c r="K64" s="25" t="s">
        <v>196</v>
      </c>
      <c r="L64" s="25" t="s">
        <v>196</v>
      </c>
      <c r="M64" s="25" t="s">
        <v>196</v>
      </c>
      <c r="N64" s="25" t="s">
        <v>196</v>
      </c>
      <c r="O64" s="25" t="s">
        <v>196</v>
      </c>
      <c r="P64" s="25" t="s">
        <v>196</v>
      </c>
      <c r="Q64" s="25" t="s">
        <v>196</v>
      </c>
    </row>
    <row r="65" spans="1:17" ht="69.75" customHeight="1" x14ac:dyDescent="0.3">
      <c r="A65" s="4" t="s">
        <v>129</v>
      </c>
      <c r="B65" s="5" t="s">
        <v>130</v>
      </c>
      <c r="C65" s="13" t="str">
        <f>IF(IF(ISNUMBER(VLOOKUP("8.1",A6:Q98,3,FALSE)),ROUND(VLOOKUP("8.1",A6:Q98,3,FALSE),4),0) - IF(ISNUMBER(VLOOKUP("8.3.1",A6:Q98,3,FALSE)),ROUND(VLOOKUP("8.3.1",A6:Q98,3,FALSE),4),0) &lt;= 0, "Tak", "Nie")</f>
        <v>Tak</v>
      </c>
      <c r="D65" s="13" t="str">
        <f>IF(IF(ISNUMBER(VLOOKUP("8.1",A6:Q98,4,FALSE)),ROUND(VLOOKUP("8.1",A6:Q98,4,FALSE),4),0) - IF(ISNUMBER(VLOOKUP("8.3.1",A6:Q98,4,FALSE)),ROUND(VLOOKUP("8.3.1",A6:Q98,4,FALSE),4),0) &lt;= 0, "Tak", "Nie")</f>
        <v>Tak</v>
      </c>
      <c r="E65" s="13" t="str">
        <f>IF(IF(ISNUMBER(VLOOKUP("8.1",A6:Q98,5,FALSE)),ROUND(VLOOKUP("8.1",A6:Q98,5,FALSE),4),0) - IF(ISNUMBER(VLOOKUP("8.3.1",A6:Q98,5,FALSE)),ROUND(VLOOKUP("8.3.1",A6:Q98,5,FALSE),4),0) &lt;= 0, "Tak", "Nie")</f>
        <v>Tak</v>
      </c>
      <c r="F65" s="13" t="str">
        <f>IF(IF(ISNUMBER(VLOOKUP("8.1",A6:Q98,6,FALSE)),ROUND(VLOOKUP("8.1",A6:Q98,6,FALSE),4),0) - IF(ISNUMBER(VLOOKUP("8.3.1",A6:Q98,6,FALSE)),ROUND(VLOOKUP("8.3.1",A6:Q98,6,FALSE),4),0) &lt;= 0, "Tak", "Nie")</f>
        <v>Tak</v>
      </c>
      <c r="G65" s="13" t="str">
        <f>IF(IF(ISNUMBER(VLOOKUP("8.1",A6:Q98,7,FALSE)),ROUND(VLOOKUP("8.1",A6:Q98,7,FALSE),4),0) - IF(ISNUMBER(VLOOKUP("8.3.1",A6:Q98,7,FALSE)),ROUND(VLOOKUP("8.3.1",A6:Q98,7,FALSE),4),0) &lt;= 0, "Tak", "Nie")</f>
        <v>Tak</v>
      </c>
      <c r="H65" s="13" t="str">
        <f>IF(IF(ISNUMBER(VLOOKUP("8.1",A6:Q98,8,FALSE)),ROUND(VLOOKUP("8.1",A6:Q98,8,FALSE),4),0) - IF(ISNUMBER(VLOOKUP("8.3.1",A6:Q98,8,FALSE)),ROUND(VLOOKUP("8.3.1",A6:Q98,8,FALSE),4),0) &lt;= 0, "Tak", "Nie")</f>
        <v>Tak</v>
      </c>
      <c r="I65" s="13" t="str">
        <f>IF(IF(ISNUMBER(VLOOKUP("8.1",A6:Q98,9,FALSE)),ROUND(VLOOKUP("8.1",A6:Q98,9,FALSE),4),0) - IF(ISNUMBER(VLOOKUP("8.3.1",A6:Q98,9,FALSE)),ROUND(VLOOKUP("8.3.1",A6:Q98,9,FALSE),4),0) &lt;= 0, "Tak", "Nie")</f>
        <v>Tak</v>
      </c>
      <c r="J65" s="13" t="str">
        <f>IF(IF(ISNUMBER(VLOOKUP("8.1",A6:Q98,10,FALSE)),ROUND(VLOOKUP("8.1",A6:Q98,10,FALSE),4),0) - IF(ISNUMBER(VLOOKUP("8.3.1",A6:Q98,10,FALSE)),ROUND(VLOOKUP("8.3.1",A6:Q98,10,FALSE),4),0) &lt;= 0, "Tak", "Nie")</f>
        <v>Tak</v>
      </c>
      <c r="K65" s="26" t="s">
        <v>196</v>
      </c>
      <c r="L65" s="26" t="s">
        <v>196</v>
      </c>
      <c r="M65" s="26" t="s">
        <v>196</v>
      </c>
      <c r="N65" s="26" t="s">
        <v>196</v>
      </c>
      <c r="O65" s="26" t="s">
        <v>196</v>
      </c>
      <c r="P65" s="26" t="s">
        <v>196</v>
      </c>
      <c r="Q65" s="26" t="s">
        <v>196</v>
      </c>
    </row>
    <row r="66" spans="1:17" ht="35.1" customHeight="1" x14ac:dyDescent="0.3">
      <c r="A66" s="1" t="s">
        <v>131</v>
      </c>
      <c r="B66" s="2" t="s">
        <v>132</v>
      </c>
      <c r="C66" s="29" t="s">
        <v>114</v>
      </c>
      <c r="D66" s="29" t="s">
        <v>114</v>
      </c>
      <c r="E66" s="29" t="s">
        <v>114</v>
      </c>
      <c r="F66" s="29" t="s">
        <v>114</v>
      </c>
      <c r="G66" s="29" t="s">
        <v>114</v>
      </c>
      <c r="H66" s="29" t="s">
        <v>114</v>
      </c>
      <c r="I66" s="29" t="s">
        <v>114</v>
      </c>
      <c r="J66" s="29" t="s">
        <v>114</v>
      </c>
      <c r="K66" s="30" t="s">
        <v>114</v>
      </c>
      <c r="L66" s="30" t="s">
        <v>114</v>
      </c>
      <c r="M66" s="30" t="s">
        <v>114</v>
      </c>
      <c r="N66" s="30" t="s">
        <v>114</v>
      </c>
      <c r="O66" s="30" t="s">
        <v>114</v>
      </c>
      <c r="P66" s="30" t="s">
        <v>114</v>
      </c>
      <c r="Q66" s="30" t="s">
        <v>114</v>
      </c>
    </row>
    <row r="67" spans="1:17" ht="35.1" customHeight="1" x14ac:dyDescent="0.3">
      <c r="A67" s="4" t="s">
        <v>133</v>
      </c>
      <c r="B67" s="5" t="s">
        <v>134</v>
      </c>
      <c r="C67" s="6">
        <v>1277431.42</v>
      </c>
      <c r="D67" s="6">
        <v>2323047.1</v>
      </c>
      <c r="E67" s="6">
        <v>2382589.33</v>
      </c>
      <c r="F67" s="6">
        <v>3104219.86</v>
      </c>
      <c r="G67" s="6">
        <v>1845828.46</v>
      </c>
      <c r="H67" s="6">
        <v>2384134.27</v>
      </c>
      <c r="I67" s="6">
        <v>3134201</v>
      </c>
      <c r="J67" s="6">
        <v>2741249.1</v>
      </c>
      <c r="K67" s="21">
        <v>7541230.4299999997</v>
      </c>
      <c r="L67" s="21">
        <v>1667481.68</v>
      </c>
      <c r="M67" s="21">
        <v>642391</v>
      </c>
      <c r="N67" s="21">
        <v>186136</v>
      </c>
      <c r="O67" s="21">
        <v>0</v>
      </c>
      <c r="P67" s="21">
        <v>0</v>
      </c>
      <c r="Q67" s="21">
        <v>0</v>
      </c>
    </row>
    <row r="68" spans="1:17" ht="35.1" customHeight="1" x14ac:dyDescent="0.3">
      <c r="A68" s="4" t="s">
        <v>135</v>
      </c>
      <c r="B68" s="5" t="s">
        <v>136</v>
      </c>
      <c r="C68" s="6">
        <v>1277431.42</v>
      </c>
      <c r="D68" s="6">
        <v>2323047.1</v>
      </c>
      <c r="E68" s="6">
        <v>2382589.33</v>
      </c>
      <c r="F68" s="6">
        <v>3104219.86</v>
      </c>
      <c r="G68" s="6">
        <v>1845828.46</v>
      </c>
      <c r="H68" s="6">
        <v>2384134.27</v>
      </c>
      <c r="I68" s="6">
        <v>3134201</v>
      </c>
      <c r="J68" s="6">
        <v>2741249.1</v>
      </c>
      <c r="K68" s="21">
        <v>7541230.4299999997</v>
      </c>
      <c r="L68" s="21">
        <v>1667481.68</v>
      </c>
      <c r="M68" s="21">
        <v>642391</v>
      </c>
      <c r="N68" s="21">
        <v>186136</v>
      </c>
      <c r="O68" s="21">
        <v>0</v>
      </c>
      <c r="P68" s="21">
        <v>0</v>
      </c>
      <c r="Q68" s="21">
        <v>0</v>
      </c>
    </row>
    <row r="69" spans="1:17" ht="35.1" customHeight="1" x14ac:dyDescent="0.3">
      <c r="A69" s="4" t="s">
        <v>137</v>
      </c>
      <c r="B69" s="5" t="s">
        <v>138</v>
      </c>
      <c r="C69" s="6">
        <v>1251624.33</v>
      </c>
      <c r="D69" s="6">
        <v>2096173.92</v>
      </c>
      <c r="E69" s="6">
        <v>2257078.39</v>
      </c>
      <c r="F69" s="6">
        <v>2906527.56</v>
      </c>
      <c r="G69" s="6">
        <v>1678885.68</v>
      </c>
      <c r="H69" s="6">
        <v>2344513.7599999998</v>
      </c>
      <c r="I69" s="6">
        <v>3054338</v>
      </c>
      <c r="J69" s="6">
        <v>2687415.8</v>
      </c>
      <c r="K69" s="21">
        <v>7238799.6900000004</v>
      </c>
      <c r="L69" s="21">
        <v>1616463.68</v>
      </c>
      <c r="M69" s="21">
        <v>640596</v>
      </c>
      <c r="N69" s="21">
        <v>186136</v>
      </c>
      <c r="O69" s="21">
        <v>0</v>
      </c>
      <c r="P69" s="21">
        <v>0</v>
      </c>
      <c r="Q69" s="21">
        <v>0</v>
      </c>
    </row>
    <row r="70" spans="1:17" ht="35.1" customHeight="1" x14ac:dyDescent="0.3">
      <c r="A70" s="4" t="s">
        <v>139</v>
      </c>
      <c r="B70" s="5" t="s">
        <v>140</v>
      </c>
      <c r="C70" s="6">
        <v>1217025.83</v>
      </c>
      <c r="D70" s="6">
        <v>4549417.3099999996</v>
      </c>
      <c r="E70" s="6">
        <v>1365624.17</v>
      </c>
      <c r="F70" s="6">
        <v>1095203.42</v>
      </c>
      <c r="G70" s="6">
        <v>39929.08</v>
      </c>
      <c r="H70" s="6">
        <v>579034.80000000005</v>
      </c>
      <c r="I70" s="6">
        <v>1150486</v>
      </c>
      <c r="J70" s="6">
        <v>40000</v>
      </c>
      <c r="K70" s="21">
        <v>11421778</v>
      </c>
      <c r="L70" s="21">
        <v>3565452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</row>
    <row r="71" spans="1:17" ht="35.1" customHeight="1" x14ac:dyDescent="0.3">
      <c r="A71" s="4" t="s">
        <v>141</v>
      </c>
      <c r="B71" s="5" t="s">
        <v>142</v>
      </c>
      <c r="C71" s="6">
        <v>1217025.83</v>
      </c>
      <c r="D71" s="6">
        <v>4549417.3099999996</v>
      </c>
      <c r="E71" s="6">
        <v>1365624.17</v>
      </c>
      <c r="F71" s="6">
        <v>1095203.42</v>
      </c>
      <c r="G71" s="6">
        <v>39929.08</v>
      </c>
      <c r="H71" s="6">
        <v>579034.80000000005</v>
      </c>
      <c r="I71" s="6">
        <v>1150486</v>
      </c>
      <c r="J71" s="6">
        <v>40000</v>
      </c>
      <c r="K71" s="21">
        <v>11421778</v>
      </c>
      <c r="L71" s="21">
        <v>3565452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</row>
    <row r="72" spans="1:17" ht="35.1" customHeight="1" x14ac:dyDescent="0.3">
      <c r="A72" s="4" t="s">
        <v>143</v>
      </c>
      <c r="B72" s="5" t="s">
        <v>138</v>
      </c>
      <c r="C72" s="6">
        <v>1217025.83</v>
      </c>
      <c r="D72" s="6">
        <v>4549417.3099999996</v>
      </c>
      <c r="E72" s="6">
        <v>1354072.17</v>
      </c>
      <c r="F72" s="6">
        <v>1029306.57</v>
      </c>
      <c r="G72" s="6">
        <v>33273.910000000003</v>
      </c>
      <c r="H72" s="6">
        <v>474808.54</v>
      </c>
      <c r="I72" s="6">
        <v>1146510</v>
      </c>
      <c r="J72" s="6">
        <v>36024</v>
      </c>
      <c r="K72" s="21">
        <v>11402978</v>
      </c>
      <c r="L72" s="21">
        <v>3565452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</row>
    <row r="73" spans="1:17" ht="35.1" customHeight="1" x14ac:dyDescent="0.3">
      <c r="A73" s="4" t="s">
        <v>144</v>
      </c>
      <c r="B73" s="5" t="s">
        <v>145</v>
      </c>
      <c r="C73" s="6">
        <v>1371811.63</v>
      </c>
      <c r="D73" s="6">
        <v>2388170.33</v>
      </c>
      <c r="E73" s="6">
        <v>2524012.9500000002</v>
      </c>
      <c r="F73" s="6">
        <v>3370669.71</v>
      </c>
      <c r="G73" s="6">
        <v>1877258.73</v>
      </c>
      <c r="H73" s="6">
        <v>2484400.38</v>
      </c>
      <c r="I73" s="6">
        <v>3134201</v>
      </c>
      <c r="J73" s="6">
        <v>2643012.2400000002</v>
      </c>
      <c r="K73" s="21">
        <v>7631230.4299999997</v>
      </c>
      <c r="L73" s="21">
        <v>2840115.68</v>
      </c>
      <c r="M73" s="21">
        <v>965025</v>
      </c>
      <c r="N73" s="21">
        <v>266607</v>
      </c>
      <c r="O73" s="21">
        <v>0</v>
      </c>
      <c r="P73" s="21">
        <v>0</v>
      </c>
      <c r="Q73" s="21">
        <v>0</v>
      </c>
    </row>
    <row r="74" spans="1:17" ht="35.1" customHeight="1" x14ac:dyDescent="0.3">
      <c r="A74" s="4" t="s">
        <v>146</v>
      </c>
      <c r="B74" s="5" t="s">
        <v>147</v>
      </c>
      <c r="C74" s="6">
        <v>1371811.63</v>
      </c>
      <c r="D74" s="6">
        <v>2388170.33</v>
      </c>
      <c r="E74" s="6">
        <v>2524012.9500000002</v>
      </c>
      <c r="F74" s="6">
        <v>3370669.71</v>
      </c>
      <c r="G74" s="6">
        <v>1877258.73</v>
      </c>
      <c r="H74" s="6">
        <v>2484400.38</v>
      </c>
      <c r="I74" s="6">
        <v>3134201</v>
      </c>
      <c r="J74" s="6">
        <v>2643012.2400000002</v>
      </c>
      <c r="K74" s="21">
        <v>7631230.4299999997</v>
      </c>
      <c r="L74" s="21">
        <v>1757481.68</v>
      </c>
      <c r="M74" s="21">
        <v>732391</v>
      </c>
      <c r="N74" s="21">
        <v>266607</v>
      </c>
      <c r="O74" s="21">
        <v>0</v>
      </c>
      <c r="P74" s="21">
        <v>0</v>
      </c>
      <c r="Q74" s="21">
        <v>0</v>
      </c>
    </row>
    <row r="75" spans="1:17" ht="35.1" customHeight="1" x14ac:dyDescent="0.3">
      <c r="A75" s="4" t="s">
        <v>148</v>
      </c>
      <c r="B75" s="5" t="s">
        <v>149</v>
      </c>
      <c r="C75" s="6">
        <v>1187573.4099999999</v>
      </c>
      <c r="D75" s="6">
        <v>2040037.26</v>
      </c>
      <c r="E75" s="6">
        <v>2236732.9300000002</v>
      </c>
      <c r="F75" s="6">
        <v>2913270.76</v>
      </c>
      <c r="G75" s="6">
        <v>1663519.58</v>
      </c>
      <c r="H75" s="6">
        <v>2438739.41</v>
      </c>
      <c r="I75" s="6">
        <v>3054337</v>
      </c>
      <c r="J75" s="6">
        <v>2589156.25</v>
      </c>
      <c r="K75" s="21">
        <v>7238799.6900000004</v>
      </c>
      <c r="L75" s="21">
        <v>1616463.68</v>
      </c>
      <c r="M75" s="21">
        <v>640596</v>
      </c>
      <c r="N75" s="21">
        <v>233760</v>
      </c>
      <c r="O75" s="21">
        <v>0</v>
      </c>
      <c r="P75" s="21">
        <v>0</v>
      </c>
      <c r="Q75" s="21">
        <v>0</v>
      </c>
    </row>
    <row r="76" spans="1:17" ht="35.1" customHeight="1" x14ac:dyDescent="0.3">
      <c r="A76" s="4" t="s">
        <v>150</v>
      </c>
      <c r="B76" s="5" t="s">
        <v>151</v>
      </c>
      <c r="C76" s="6">
        <v>3496357.52</v>
      </c>
      <c r="D76" s="6">
        <v>3654233.49</v>
      </c>
      <c r="E76" s="6">
        <v>1945702.49</v>
      </c>
      <c r="F76" s="6">
        <v>1215676.6200000001</v>
      </c>
      <c r="G76" s="6">
        <v>82698.240000000005</v>
      </c>
      <c r="H76" s="6">
        <v>579034.80000000005</v>
      </c>
      <c r="I76" s="6">
        <v>1377451</v>
      </c>
      <c r="J76" s="6">
        <v>442135.2</v>
      </c>
      <c r="K76" s="21">
        <v>14053002</v>
      </c>
      <c r="L76" s="21">
        <v>4638290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</row>
    <row r="77" spans="1:17" ht="35.1" customHeight="1" x14ac:dyDescent="0.3">
      <c r="A77" s="4" t="s">
        <v>152</v>
      </c>
      <c r="B77" s="5" t="s">
        <v>153</v>
      </c>
      <c r="C77" s="6">
        <v>3496357.52</v>
      </c>
      <c r="D77" s="6">
        <v>3654233.49</v>
      </c>
      <c r="E77" s="6">
        <v>1945702.49</v>
      </c>
      <c r="F77" s="6">
        <v>1215676.6200000001</v>
      </c>
      <c r="G77" s="6">
        <v>82698.240000000005</v>
      </c>
      <c r="H77" s="6">
        <v>579034.80000000005</v>
      </c>
      <c r="I77" s="6">
        <v>1377451</v>
      </c>
      <c r="J77" s="6">
        <v>442135.2</v>
      </c>
      <c r="K77" s="21">
        <v>14053002</v>
      </c>
      <c r="L77" s="21">
        <v>4638290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</row>
    <row r="78" spans="1:17" ht="35.1" customHeight="1" x14ac:dyDescent="0.3">
      <c r="A78" s="4" t="s">
        <v>154</v>
      </c>
      <c r="B78" s="5" t="s">
        <v>149</v>
      </c>
      <c r="C78" s="6">
        <v>1567281.76</v>
      </c>
      <c r="D78" s="6">
        <v>2489537.44</v>
      </c>
      <c r="E78" s="6">
        <v>1361586.03</v>
      </c>
      <c r="F78" s="6">
        <v>938257.78</v>
      </c>
      <c r="G78" s="6">
        <v>33273.910000000003</v>
      </c>
      <c r="H78" s="6">
        <v>474808.54</v>
      </c>
      <c r="I78" s="6">
        <v>1146510</v>
      </c>
      <c r="J78" s="6">
        <v>363942.51</v>
      </c>
      <c r="K78" s="21">
        <v>10001748</v>
      </c>
      <c r="L78" s="21">
        <v>3565452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</row>
    <row r="79" spans="1:17" ht="30" customHeight="1" x14ac:dyDescent="0.3">
      <c r="A79" s="1" t="s">
        <v>155</v>
      </c>
      <c r="B79" s="2" t="s">
        <v>156</v>
      </c>
      <c r="C79" s="29" t="s">
        <v>114</v>
      </c>
      <c r="D79" s="29" t="s">
        <v>114</v>
      </c>
      <c r="E79" s="29" t="s">
        <v>114</v>
      </c>
      <c r="F79" s="29" t="s">
        <v>114</v>
      </c>
      <c r="G79" s="29" t="s">
        <v>114</v>
      </c>
      <c r="H79" s="29" t="s">
        <v>114</v>
      </c>
      <c r="I79" s="29" t="s">
        <v>114</v>
      </c>
      <c r="J79" s="29" t="s">
        <v>114</v>
      </c>
      <c r="K79" s="30" t="s">
        <v>114</v>
      </c>
      <c r="L79" s="30" t="s">
        <v>114</v>
      </c>
      <c r="M79" s="30" t="s">
        <v>114</v>
      </c>
      <c r="N79" s="30" t="s">
        <v>114</v>
      </c>
      <c r="O79" s="30" t="s">
        <v>114</v>
      </c>
      <c r="P79" s="30" t="s">
        <v>114</v>
      </c>
      <c r="Q79" s="30" t="s">
        <v>114</v>
      </c>
    </row>
    <row r="80" spans="1:17" ht="30" customHeight="1" x14ac:dyDescent="0.3">
      <c r="A80" s="4" t="s">
        <v>157</v>
      </c>
      <c r="B80" s="5" t="s">
        <v>158</v>
      </c>
      <c r="C80" s="7">
        <f>IF(ISNUMBER(VLOOKUP("10.1.1",A6:Q98,3,FALSE)),ROUND(VLOOKUP("10.1.1",A6:Q98,3,FALSE),4),0) + IF(ISNUMBER(VLOOKUP("10.1.2",A6:Q98,3,FALSE)),ROUND(VLOOKUP("10.1.2",A6:Q98,3,FALSE),4),0)</f>
        <v>4855682.74</v>
      </c>
      <c r="D80" s="7">
        <f>IF(ISNUMBER(VLOOKUP("10.1.1",A6:Q98,4,FALSE)),ROUND(VLOOKUP("10.1.1",A6:Q98,4,FALSE),4),0) + IF(ISNUMBER(VLOOKUP("10.1.2",A6:Q98,4,FALSE)),ROUND(VLOOKUP("10.1.2",A6:Q98,4,FALSE),4),0)</f>
        <v>6339599.1100000003</v>
      </c>
      <c r="E80" s="7">
        <f>IF(ISNUMBER(VLOOKUP("10.1.1",A6:Q98,5,FALSE)),ROUND(VLOOKUP("10.1.1",A6:Q98,5,FALSE),4),0) + IF(ISNUMBER(VLOOKUP("10.1.2",A6:Q98,5,FALSE)),ROUND(VLOOKUP("10.1.2",A6:Q98,5,FALSE),4),0)</f>
        <v>10120511</v>
      </c>
      <c r="F80" s="7">
        <f>IF(ISNUMBER(VLOOKUP("10.1.1",A6:Q98,6,FALSE)),ROUND(VLOOKUP("10.1.1",A6:Q98,6,FALSE),4),0) + IF(ISNUMBER(VLOOKUP("10.1.2",A6:Q98,6,FALSE)),ROUND(VLOOKUP("10.1.2",A6:Q98,6,FALSE),4),0)</f>
        <v>12987912</v>
      </c>
      <c r="G80" s="7">
        <f>IF(ISNUMBER(VLOOKUP("10.1.1",A6:Q98,7,FALSE)),ROUND(VLOOKUP("10.1.1",A6:Q98,7,FALSE),4),0) + IF(ISNUMBER(VLOOKUP("10.1.2",A6:Q98,7,FALSE)),ROUND(VLOOKUP("10.1.2",A6:Q98,7,FALSE),4),0)</f>
        <v>22822592</v>
      </c>
      <c r="H80" s="7">
        <f>IF(ISNUMBER(VLOOKUP("10.1.1",A6:Q98,8,FALSE)),ROUND(VLOOKUP("10.1.1",A6:Q98,8,FALSE),4),0) + IF(ISNUMBER(VLOOKUP("10.1.2",A6:Q98,8,FALSE)),ROUND(VLOOKUP("10.1.2",A6:Q98,8,FALSE),4),0)</f>
        <v>32334321</v>
      </c>
      <c r="I80" s="7">
        <f>IF(ISNUMBER(VLOOKUP("10.1.1",A6:Q98,9,FALSE)),ROUND(VLOOKUP("10.1.1",A6:Q98,9,FALSE),4),0) + IF(ISNUMBER(VLOOKUP("10.1.2",A6:Q98,9,FALSE)),ROUND(VLOOKUP("10.1.2",A6:Q98,9,FALSE),4),0)</f>
        <v>0</v>
      </c>
      <c r="J80" s="7">
        <f>IF(ISNUMBER(VLOOKUP("10.1.1",A6:Q98,10,FALSE)),ROUND(VLOOKUP("10.1.1",A6:Q98,10,FALSE),4),0) + IF(ISNUMBER(VLOOKUP("10.1.2",A6:Q98,10,FALSE)),ROUND(VLOOKUP("10.1.2",A6:Q98,10,FALSE),4),0)</f>
        <v>0</v>
      </c>
      <c r="K80" s="22">
        <v>19907986.43</v>
      </c>
      <c r="L80" s="22">
        <v>9266653.6799999997</v>
      </c>
      <c r="M80" s="22">
        <v>965025</v>
      </c>
      <c r="N80" s="22">
        <v>266607</v>
      </c>
      <c r="O80" s="22">
        <v>0</v>
      </c>
      <c r="P80" s="22">
        <v>0</v>
      </c>
      <c r="Q80" s="22">
        <v>0</v>
      </c>
    </row>
    <row r="81" spans="1:17" ht="30" customHeight="1" x14ac:dyDescent="0.3">
      <c r="A81" s="4" t="s">
        <v>159</v>
      </c>
      <c r="B81" s="5" t="s">
        <v>160</v>
      </c>
      <c r="C81" s="7">
        <v>1359325.22</v>
      </c>
      <c r="D81" s="7">
        <v>1029841.42</v>
      </c>
      <c r="E81" s="7">
        <v>4123525</v>
      </c>
      <c r="F81" s="7">
        <v>4141231</v>
      </c>
      <c r="G81" s="7">
        <v>1909303</v>
      </c>
      <c r="H81" s="7">
        <v>2748299</v>
      </c>
      <c r="I81" s="7">
        <v>0</v>
      </c>
      <c r="J81" s="7">
        <v>0</v>
      </c>
      <c r="K81" s="22">
        <v>7500922.4299999997</v>
      </c>
      <c r="L81" s="22">
        <v>2840115.68</v>
      </c>
      <c r="M81" s="22">
        <v>965025</v>
      </c>
      <c r="N81" s="22">
        <v>266607</v>
      </c>
      <c r="O81" s="22">
        <v>0</v>
      </c>
      <c r="P81" s="22">
        <v>0</v>
      </c>
      <c r="Q81" s="22">
        <v>0</v>
      </c>
    </row>
    <row r="82" spans="1:17" ht="30" customHeight="1" x14ac:dyDescent="0.3">
      <c r="A82" s="4" t="s">
        <v>161</v>
      </c>
      <c r="B82" s="5" t="s">
        <v>162</v>
      </c>
      <c r="C82" s="7">
        <v>3496357.52</v>
      </c>
      <c r="D82" s="7">
        <v>5309757.6900000004</v>
      </c>
      <c r="E82" s="7">
        <v>5996986</v>
      </c>
      <c r="F82" s="7">
        <v>8846681</v>
      </c>
      <c r="G82" s="7">
        <v>20913289</v>
      </c>
      <c r="H82" s="7">
        <v>29586022</v>
      </c>
      <c r="I82" s="7">
        <v>0</v>
      </c>
      <c r="J82" s="7">
        <v>0</v>
      </c>
      <c r="K82" s="22">
        <v>12407064</v>
      </c>
      <c r="L82" s="22">
        <v>6426538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</row>
    <row r="83" spans="1:17" ht="35.1" customHeight="1" x14ac:dyDescent="0.3">
      <c r="A83" s="4" t="s">
        <v>163</v>
      </c>
      <c r="B83" s="5" t="s">
        <v>164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</row>
    <row r="84" spans="1:17" ht="35.1" customHeight="1" x14ac:dyDescent="0.3">
      <c r="A84" s="4" t="s">
        <v>165</v>
      </c>
      <c r="B84" s="5" t="s">
        <v>166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</row>
    <row r="85" spans="1:17" ht="45" customHeight="1" x14ac:dyDescent="0.3">
      <c r="A85" s="4" t="s">
        <v>167</v>
      </c>
      <c r="B85" s="5" t="s">
        <v>168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</row>
    <row r="86" spans="1:17" ht="35.1" customHeight="1" x14ac:dyDescent="0.3">
      <c r="A86" s="4" t="s">
        <v>169</v>
      </c>
      <c r="B86" s="5" t="s">
        <v>170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</row>
    <row r="87" spans="1:17" ht="30" customHeight="1" x14ac:dyDescent="0.3">
      <c r="A87" s="4" t="s">
        <v>171</v>
      </c>
      <c r="B87" s="5" t="s">
        <v>172</v>
      </c>
      <c r="C87" s="7">
        <v>2185000</v>
      </c>
      <c r="D87" s="7">
        <v>2320000</v>
      </c>
      <c r="E87" s="7">
        <v>1222500</v>
      </c>
      <c r="F87" s="7">
        <v>1222500</v>
      </c>
      <c r="G87" s="7">
        <v>1322500</v>
      </c>
      <c r="H87" s="7">
        <v>1422500</v>
      </c>
      <c r="I87" s="7">
        <v>1560000</v>
      </c>
      <c r="J87" s="7">
        <v>1560000</v>
      </c>
      <c r="K87" s="22">
        <v>1560000</v>
      </c>
      <c r="L87" s="22">
        <v>1485000</v>
      </c>
      <c r="M87" s="22">
        <v>1375000</v>
      </c>
      <c r="N87" s="22">
        <v>1375000</v>
      </c>
      <c r="O87" s="22">
        <v>1375000</v>
      </c>
      <c r="P87" s="22">
        <v>1250000</v>
      </c>
      <c r="Q87" s="22">
        <v>1250000</v>
      </c>
    </row>
    <row r="88" spans="1:17" ht="30" customHeight="1" x14ac:dyDescent="0.3">
      <c r="A88" s="4" t="s">
        <v>173</v>
      </c>
      <c r="B88" s="5" t="s">
        <v>174</v>
      </c>
      <c r="C88" s="7">
        <f>IF(ISNUMBER(VLOOKUP("10.7.1",A6:Q98,3,FALSE)),ROUND(VLOOKUP("10.7.1",A6:Q98,3,FALSE),4),0) + IF(ISNUMBER(VLOOKUP("10.7.2",A6:Q98,3,FALSE)),ROUND(VLOOKUP("10.7.2",A6:Q98,3,FALSE),4),0) + IF(ISNUMBER(VLOOKUP("10.7.3",A6:Q98,3,FALSE)),ROUND(VLOOKUP("10.7.3",A6:Q98,3,FALSE),4),0)</f>
        <v>0</v>
      </c>
      <c r="D88" s="7">
        <f>IF(ISNUMBER(VLOOKUP("10.7.1",A6:Q98,4,FALSE)),ROUND(VLOOKUP("10.7.1",A6:Q98,4,FALSE),4),0) + IF(ISNUMBER(VLOOKUP("10.7.2",A6:Q98,4,FALSE)),ROUND(VLOOKUP("10.7.2",A6:Q98,4,FALSE),4),0) + IF(ISNUMBER(VLOOKUP("10.7.3",A6:Q98,4,FALSE)),ROUND(VLOOKUP("10.7.3",A6:Q98,4,FALSE),4),0)</f>
        <v>0</v>
      </c>
      <c r="E88" s="7">
        <f>IF(ISNUMBER(VLOOKUP("10.7.1",A6:Q98,5,FALSE)),ROUND(VLOOKUP("10.7.1",A6:Q98,5,FALSE),4),0) + IF(ISNUMBER(VLOOKUP("10.7.2",A6:Q98,5,FALSE)),ROUND(VLOOKUP("10.7.2",A6:Q98,5,FALSE),4),0) + IF(ISNUMBER(VLOOKUP("10.7.3",A6:Q98,5,FALSE)),ROUND(VLOOKUP("10.7.3",A6:Q98,5,FALSE),4),0)</f>
        <v>0</v>
      </c>
      <c r="F88" s="7">
        <f>IF(ISNUMBER(VLOOKUP("10.7.1",A6:Q98,6,FALSE)),ROUND(VLOOKUP("10.7.1",A6:Q98,6,FALSE),4),0) + IF(ISNUMBER(VLOOKUP("10.7.2",A6:Q98,6,FALSE)),ROUND(VLOOKUP("10.7.2",A6:Q98,6,FALSE),4),0) + IF(ISNUMBER(VLOOKUP("10.7.3",A6:Q98,6,FALSE)),ROUND(VLOOKUP("10.7.3",A6:Q98,6,FALSE),4),0)</f>
        <v>0</v>
      </c>
      <c r="G88" s="7">
        <f>IF(ISNUMBER(VLOOKUP("10.7.1",A6:Q98,7,FALSE)),ROUND(VLOOKUP("10.7.1",A6:Q98,7,FALSE),4),0) + IF(ISNUMBER(VLOOKUP("10.7.2",A6:Q98,7,FALSE)),ROUND(VLOOKUP("10.7.2",A6:Q98,7,FALSE),4),0) + IF(ISNUMBER(VLOOKUP("10.7.3",A6:Q98,7,FALSE)),ROUND(VLOOKUP("10.7.3",A6:Q98,7,FALSE),4),0)</f>
        <v>0</v>
      </c>
      <c r="H88" s="7">
        <f>IF(ISNUMBER(VLOOKUP("10.7.1",A6:Q98,8,FALSE)),ROUND(VLOOKUP("10.7.1",A6:Q98,8,FALSE),4),0) + IF(ISNUMBER(VLOOKUP("10.7.2",A6:Q98,8,FALSE)),ROUND(VLOOKUP("10.7.2",A6:Q98,8,FALSE),4),0) + IF(ISNUMBER(VLOOKUP("10.7.3",A6:Q98,8,FALSE)),ROUND(VLOOKUP("10.7.3",A6:Q98,8,FALSE),4),0)</f>
        <v>0</v>
      </c>
      <c r="I88" s="7">
        <f>IF(ISNUMBER(VLOOKUP("10.7.1",A6:Q98,9,FALSE)),ROUND(VLOOKUP("10.7.1",A6:Q98,9,FALSE),4),0) + IF(ISNUMBER(VLOOKUP("10.7.2",A6:Q98,9,FALSE)),ROUND(VLOOKUP("10.7.2",A6:Q98,9,FALSE),4),0) + IF(ISNUMBER(VLOOKUP("10.7.3",A6:Q98,9,FALSE)),ROUND(VLOOKUP("10.7.3",A6:Q98,9,FALSE),4),0)</f>
        <v>0</v>
      </c>
      <c r="J88" s="7">
        <f>IF(ISNUMBER(VLOOKUP("10.7.1",A6:Q98,10,FALSE)),ROUND(VLOOKUP("10.7.1",A6:Q98,10,FALSE),4),0) + IF(ISNUMBER(VLOOKUP("10.7.2",A6:Q98,10,FALSE)),ROUND(VLOOKUP("10.7.2",A6:Q98,10,FALSE),4),0) + IF(ISNUMBER(VLOOKUP("10.7.3",A6:Q98,10,FALSE)),ROUND(VLOOKUP("10.7.3",A6:Q98,10,FALSE),4),0)</f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</row>
    <row r="89" spans="1:17" ht="30" customHeight="1" x14ac:dyDescent="0.3">
      <c r="A89" s="4" t="s">
        <v>175</v>
      </c>
      <c r="B89" s="5" t="s">
        <v>176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</row>
    <row r="90" spans="1:17" ht="30" customHeight="1" x14ac:dyDescent="0.3">
      <c r="A90" s="4" t="s">
        <v>177</v>
      </c>
      <c r="B90" s="5" t="s">
        <v>178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</row>
    <row r="91" spans="1:17" ht="30" customHeight="1" x14ac:dyDescent="0.3">
      <c r="A91" s="4" t="s">
        <v>179</v>
      </c>
      <c r="B91" s="5" t="s">
        <v>180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</row>
    <row r="92" spans="1:17" ht="30" customHeight="1" x14ac:dyDescent="0.3">
      <c r="A92" s="4" t="s">
        <v>181</v>
      </c>
      <c r="B92" s="5" t="s">
        <v>182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</row>
    <row r="93" spans="1:17" ht="30" customHeight="1" x14ac:dyDescent="0.3">
      <c r="A93" s="4" t="s">
        <v>183</v>
      </c>
      <c r="B93" s="5" t="s">
        <v>184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</row>
    <row r="94" spans="1:17" ht="30" customHeight="1" x14ac:dyDescent="0.3">
      <c r="A94" s="4" t="s">
        <v>185</v>
      </c>
      <c r="B94" s="5" t="s">
        <v>186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</row>
    <row r="95" spans="1:17" ht="35.1" customHeight="1" x14ac:dyDescent="0.3">
      <c r="A95" s="4" t="s">
        <v>187</v>
      </c>
      <c r="B95" s="5" t="s">
        <v>188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</row>
    <row r="96" spans="1:17" ht="71.25" customHeight="1" x14ac:dyDescent="0.3">
      <c r="A96" s="4" t="s">
        <v>189</v>
      </c>
      <c r="B96" s="5" t="s">
        <v>190</v>
      </c>
      <c r="C96" s="7">
        <f>IF(ISNUMBER(VLOOKUP("2.1.3.3",A6:Q98,3,FALSE)),ROUND(VLOOKUP("2.1.3.3",A6:Q98,3,FALSE),4),0) + IF(ISNUMBER(VLOOKUP("5.1.1.4",A6:Q98,3,FALSE)),ROUND(VLOOKUP("5.1.1.4",A6:Q98,3,FALSE),4),0)</f>
        <v>0</v>
      </c>
      <c r="D96" s="7">
        <f>IF(ISNUMBER(VLOOKUP("2.1.3.3",A6:Q98,4,FALSE)),ROUND(VLOOKUP("2.1.3.3",A6:Q98,4,FALSE),4),0) + IF(ISNUMBER(VLOOKUP("5.1.1.4",A6:Q98,4,FALSE)),ROUND(VLOOKUP("5.1.1.4",A6:Q98,4,FALSE),4),0)</f>
        <v>0</v>
      </c>
      <c r="E96" s="7">
        <f>IF(ISNUMBER(VLOOKUP("2.1.3.3",A6:Q98,5,FALSE)),ROUND(VLOOKUP("2.1.3.3",A6:Q98,5,FALSE),4),0) + IF(ISNUMBER(VLOOKUP("5.1.1.4",A6:Q98,5,FALSE)),ROUND(VLOOKUP("5.1.1.4",A6:Q98,5,FALSE),4),0)</f>
        <v>0</v>
      </c>
      <c r="F96" s="7">
        <f>IF(ISNUMBER(VLOOKUP("2.1.3.3",A6:Q98,6,FALSE)),ROUND(VLOOKUP("2.1.3.3",A6:Q98,6,FALSE),4),0) + IF(ISNUMBER(VLOOKUP("5.1.1.4",A6:Q98,6,FALSE)),ROUND(VLOOKUP("5.1.1.4",A6:Q98,6,FALSE),4),0)</f>
        <v>0</v>
      </c>
      <c r="G96" s="7">
        <f>IF(ISNUMBER(VLOOKUP("2.1.3.3",A6:Q98,7,FALSE)),ROUND(VLOOKUP("2.1.3.3",A6:Q98,7,FALSE),4),0) + IF(ISNUMBER(VLOOKUP("5.1.1.4",A6:Q98,7,FALSE)),ROUND(VLOOKUP("5.1.1.4",A6:Q98,7,FALSE),4),0)</f>
        <v>0</v>
      </c>
      <c r="H96" s="7">
        <f>IF(ISNUMBER(VLOOKUP("2.1.3.3",A6:Q98,8,FALSE)),ROUND(VLOOKUP("2.1.3.3",A6:Q98,8,FALSE),4),0) + IF(ISNUMBER(VLOOKUP("5.1.1.4",A6:Q98,8,FALSE)),ROUND(VLOOKUP("5.1.1.4",A6:Q98,8,FALSE),4),0)</f>
        <v>0</v>
      </c>
      <c r="I96" s="7">
        <f>IF(ISNUMBER(VLOOKUP("2.1.3.3",A6:Q98,9,FALSE)),ROUND(VLOOKUP("2.1.3.3",A6:Q98,9,FALSE),4),0) + IF(ISNUMBER(VLOOKUP("5.1.1.4",A6:Q98,9,FALSE)),ROUND(VLOOKUP("5.1.1.4",A6:Q98,9,FALSE),4),0)</f>
        <v>0</v>
      </c>
      <c r="J96" s="7">
        <f>IF(ISNUMBER(VLOOKUP("2.1.3.3",A6:Q98,10,FALSE)),ROUND(VLOOKUP("2.1.3.3",A6:Q98,10,FALSE),4),0) + IF(ISNUMBER(VLOOKUP("5.1.1.4",A6:Q98,10,FALSE)),ROUND(VLOOKUP("5.1.1.4",A6:Q98,10,FALSE),4),0)</f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</row>
    <row r="97" spans="1:17" ht="35.1" customHeight="1" x14ac:dyDescent="0.3">
      <c r="A97" s="4" t="s">
        <v>191</v>
      </c>
      <c r="B97" s="5" t="s">
        <v>192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</row>
  </sheetData>
  <mergeCells count="4">
    <mergeCell ref="C56:Q56"/>
    <mergeCell ref="C59:Q59"/>
    <mergeCell ref="C66:Q66"/>
    <mergeCell ref="C79:Q79"/>
  </mergeCells>
  <conditionalFormatting sqref="B31:Q31">
    <cfRule type="beginsWith" dxfId="3" priority="1" operator="beginsWith" text="Tak">
      <formula>LEFT(B31,LEN("Tak"))="Tak"</formula>
    </cfRule>
    <cfRule type="beginsWith" dxfId="2" priority="2" operator="beginsWith" text="Nie">
      <formula>LEFT(B31,LEN("Nie"))="Nie"</formula>
    </cfRule>
  </conditionalFormatting>
  <conditionalFormatting sqref="B64:Q65">
    <cfRule type="beginsWith" dxfId="1" priority="3" operator="beginsWith" text="Tak">
      <formula>LEFT(B64,LEN("Tak"))="Tak"</formula>
    </cfRule>
    <cfRule type="beginsWith" dxfId="0" priority="4" operator="beginsWith" text="Nie">
      <formula>LEFT(B64,LEN("Nie"))="Nie"</formula>
    </cfRule>
  </conditionalFormatting>
  <pageMargins left="0.43307086614173229" right="0.23622047244094491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1</dc:subject>
  <dc:creator>http://www.publink.com/</dc:creator>
  <cp:keywords>wpf, wieloletnia prognoza finansowa, wpf asystent</cp:keywords>
  <cp:lastModifiedBy>Marta Kozik</cp:lastModifiedBy>
  <cp:lastPrinted>2026-06-23T05:18:00Z</cp:lastPrinted>
  <dcterms:created xsi:type="dcterms:W3CDTF">2026-05-07T09:34:01Z</dcterms:created>
  <dcterms:modified xsi:type="dcterms:W3CDTF">2026-06-23T05:18:03Z</dcterms:modified>
</cp:coreProperties>
</file>