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6\uchwaly\XVI 84 25 WPF\"/>
    </mc:Choice>
  </mc:AlternateContent>
  <xr:revisionPtr revIDLastSave="0" documentId="13_ncr:1_{6D8C5E0D-4F81-400A-8B41-3B1332174B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1" sheetId="1" r:id="rId1"/>
  </sheets>
  <calcPr calcId="181029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H6" i="1" s="1"/>
  <c r="I7" i="1"/>
  <c r="J7" i="1"/>
  <c r="C15" i="1"/>
  <c r="D15" i="1"/>
  <c r="E15" i="1"/>
  <c r="F15" i="1"/>
  <c r="G15" i="1"/>
  <c r="H15" i="1"/>
  <c r="I15" i="1"/>
  <c r="J15" i="1"/>
  <c r="C20" i="1"/>
  <c r="D20" i="1"/>
  <c r="D66" i="1" s="1"/>
  <c r="E20" i="1"/>
  <c r="F20" i="1"/>
  <c r="G20" i="1"/>
  <c r="H20" i="1"/>
  <c r="I20" i="1"/>
  <c r="J20" i="1"/>
  <c r="J62" i="1" s="1"/>
  <c r="J63" i="1" s="1"/>
  <c r="C30" i="1"/>
  <c r="D30" i="1"/>
  <c r="E30" i="1"/>
  <c r="F30" i="1"/>
  <c r="G30" i="1"/>
  <c r="H30" i="1"/>
  <c r="I30" i="1"/>
  <c r="J30" i="1"/>
  <c r="C36" i="1"/>
  <c r="D36" i="1"/>
  <c r="E36" i="1"/>
  <c r="F36" i="1"/>
  <c r="G36" i="1"/>
  <c r="H36" i="1"/>
  <c r="I36" i="1"/>
  <c r="J36" i="1"/>
  <c r="C47" i="1"/>
  <c r="D47" i="1"/>
  <c r="E47" i="1"/>
  <c r="F47" i="1"/>
  <c r="G47" i="1"/>
  <c r="H47" i="1"/>
  <c r="I47" i="1"/>
  <c r="J47" i="1"/>
  <c r="C52" i="1"/>
  <c r="C49" i="1" s="1"/>
  <c r="C65" i="1" s="1"/>
  <c r="D52" i="1"/>
  <c r="D49" i="1" s="1"/>
  <c r="D65" i="1" s="1"/>
  <c r="E52" i="1"/>
  <c r="E49" i="1" s="1"/>
  <c r="E65" i="1" s="1"/>
  <c r="F52" i="1"/>
  <c r="F49" i="1" s="1"/>
  <c r="F65" i="1" s="1"/>
  <c r="G52" i="1"/>
  <c r="G49" i="1" s="1"/>
  <c r="G65" i="1" s="1"/>
  <c r="H52" i="1"/>
  <c r="H49" i="1" s="1"/>
  <c r="I52" i="1"/>
  <c r="I49" i="1" s="1"/>
  <c r="I65" i="1" s="1"/>
  <c r="J52" i="1"/>
  <c r="J49" i="1" s="1"/>
  <c r="J65" i="1" s="1"/>
  <c r="C61" i="1"/>
  <c r="E61" i="1"/>
  <c r="I61" i="1"/>
  <c r="J61" i="1"/>
  <c r="C62" i="1"/>
  <c r="C63" i="1" s="1"/>
  <c r="E62" i="1"/>
  <c r="E63" i="1" s="1"/>
  <c r="F62" i="1"/>
  <c r="F63" i="1" s="1"/>
  <c r="I62" i="1"/>
  <c r="I63" i="1" s="1"/>
  <c r="C66" i="1"/>
  <c r="E66" i="1"/>
  <c r="F66" i="1"/>
  <c r="I66" i="1"/>
  <c r="C67" i="1"/>
  <c r="E67" i="1"/>
  <c r="G67" i="1"/>
  <c r="I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87" i="1"/>
  <c r="D87" i="1"/>
  <c r="E87" i="1"/>
  <c r="F87" i="1"/>
  <c r="G87" i="1"/>
  <c r="H87" i="1"/>
  <c r="I87" i="1"/>
  <c r="J87" i="1"/>
  <c r="C95" i="1"/>
  <c r="D95" i="1"/>
  <c r="E95" i="1"/>
  <c r="F95" i="1"/>
  <c r="G95" i="1"/>
  <c r="H95" i="1"/>
  <c r="I95" i="1"/>
  <c r="J95" i="1"/>
  <c r="C103" i="1"/>
  <c r="D103" i="1"/>
  <c r="E103" i="1"/>
  <c r="F103" i="1"/>
  <c r="G103" i="1"/>
  <c r="H103" i="1"/>
  <c r="I103" i="1"/>
  <c r="J103" i="1"/>
  <c r="D67" i="1" l="1"/>
  <c r="J6" i="1"/>
  <c r="D6" i="1"/>
  <c r="D34" i="1" s="1"/>
  <c r="E6" i="1"/>
  <c r="J67" i="1"/>
  <c r="J66" i="1"/>
  <c r="H62" i="1"/>
  <c r="H63" i="1" s="1"/>
  <c r="I71" i="1"/>
  <c r="C71" i="1"/>
  <c r="H67" i="1"/>
  <c r="D62" i="1"/>
  <c r="D63" i="1" s="1"/>
  <c r="D61" i="1"/>
  <c r="I19" i="1"/>
  <c r="G6" i="1"/>
  <c r="H66" i="1"/>
  <c r="H19" i="1"/>
  <c r="E19" i="1"/>
  <c r="G19" i="1"/>
  <c r="D19" i="1"/>
  <c r="F19" i="1"/>
  <c r="H61" i="1"/>
  <c r="H65" i="1"/>
  <c r="H72" i="1"/>
  <c r="H107" i="1"/>
  <c r="H34" i="1"/>
  <c r="H35" i="1" s="1"/>
  <c r="G66" i="1"/>
  <c r="F67" i="1"/>
  <c r="I70" i="1"/>
  <c r="C70" i="1"/>
  <c r="G62" i="1"/>
  <c r="G63" i="1" s="1"/>
  <c r="J19" i="1"/>
  <c r="J34" i="1" s="1"/>
  <c r="C19" i="1"/>
  <c r="I6" i="1"/>
  <c r="I107" i="1" s="1"/>
  <c r="C6" i="1"/>
  <c r="C72" i="1" s="1"/>
  <c r="G61" i="1"/>
  <c r="G70" i="1"/>
  <c r="G71" i="1"/>
  <c r="E34" i="1"/>
  <c r="E107" i="1"/>
  <c r="E72" i="1"/>
  <c r="J107" i="1"/>
  <c r="J72" i="1"/>
  <c r="D72" i="1"/>
  <c r="E70" i="1"/>
  <c r="E71" i="1"/>
  <c r="F70" i="1"/>
  <c r="F71" i="1"/>
  <c r="G72" i="1"/>
  <c r="G107" i="1"/>
  <c r="D71" i="1"/>
  <c r="D70" i="1"/>
  <c r="J71" i="1"/>
  <c r="J70" i="1"/>
  <c r="H70" i="1"/>
  <c r="H71" i="1"/>
  <c r="F61" i="1"/>
  <c r="F6" i="1"/>
  <c r="R103" i="1"/>
  <c r="Q103" i="1"/>
  <c r="P103" i="1"/>
  <c r="O103" i="1"/>
  <c r="N103" i="1"/>
  <c r="M103" i="1"/>
  <c r="L103" i="1"/>
  <c r="K103" i="1"/>
  <c r="R95" i="1"/>
  <c r="Q95" i="1"/>
  <c r="P95" i="1"/>
  <c r="O95" i="1"/>
  <c r="N95" i="1"/>
  <c r="M95" i="1"/>
  <c r="L95" i="1"/>
  <c r="K95" i="1"/>
  <c r="R87" i="1"/>
  <c r="Q87" i="1"/>
  <c r="P87" i="1"/>
  <c r="O87" i="1"/>
  <c r="N87" i="1"/>
  <c r="M87" i="1"/>
  <c r="L87" i="1"/>
  <c r="K87" i="1"/>
  <c r="R52" i="1"/>
  <c r="R49" i="1" s="1"/>
  <c r="Q52" i="1"/>
  <c r="Q49" i="1" s="1"/>
  <c r="P52" i="1"/>
  <c r="P49" i="1" s="1"/>
  <c r="O52" i="1"/>
  <c r="O49" i="1" s="1"/>
  <c r="N52" i="1"/>
  <c r="N49" i="1" s="1"/>
  <c r="M52" i="1"/>
  <c r="M49" i="1" s="1"/>
  <c r="L52" i="1"/>
  <c r="L49" i="1" s="1"/>
  <c r="K52" i="1"/>
  <c r="K49" i="1" s="1"/>
  <c r="R47" i="1"/>
  <c r="Q47" i="1"/>
  <c r="P47" i="1"/>
  <c r="O47" i="1"/>
  <c r="N47" i="1"/>
  <c r="M47" i="1"/>
  <c r="L47" i="1"/>
  <c r="K47" i="1"/>
  <c r="R36" i="1"/>
  <c r="Q36" i="1"/>
  <c r="P36" i="1"/>
  <c r="O36" i="1"/>
  <c r="N36" i="1"/>
  <c r="M36" i="1"/>
  <c r="L36" i="1"/>
  <c r="K36" i="1"/>
  <c r="R30" i="1"/>
  <c r="Q30" i="1"/>
  <c r="P30" i="1"/>
  <c r="O30" i="1"/>
  <c r="N30" i="1"/>
  <c r="M30" i="1"/>
  <c r="L30" i="1"/>
  <c r="K30" i="1"/>
  <c r="R20" i="1"/>
  <c r="Q20" i="1"/>
  <c r="P20" i="1"/>
  <c r="O20" i="1"/>
  <c r="N20" i="1"/>
  <c r="N19" i="1" s="1"/>
  <c r="M20" i="1"/>
  <c r="L20" i="1"/>
  <c r="K20" i="1"/>
  <c r="R15" i="1"/>
  <c r="Q15" i="1"/>
  <c r="P15" i="1"/>
  <c r="O15" i="1"/>
  <c r="N15" i="1"/>
  <c r="M15" i="1"/>
  <c r="L15" i="1"/>
  <c r="K15" i="1"/>
  <c r="R7" i="1"/>
  <c r="Q7" i="1"/>
  <c r="P7" i="1"/>
  <c r="O7" i="1"/>
  <c r="N7" i="1"/>
  <c r="M7" i="1"/>
  <c r="L7" i="1"/>
  <c r="K7" i="1"/>
  <c r="D107" i="1" l="1"/>
  <c r="G34" i="1"/>
  <c r="K65" i="1"/>
  <c r="Q65" i="1"/>
  <c r="I34" i="1"/>
  <c r="Q6" i="1"/>
  <c r="Q107" i="1" s="1"/>
  <c r="P19" i="1"/>
  <c r="Q19" i="1"/>
  <c r="C107" i="1"/>
  <c r="C34" i="1"/>
  <c r="C106" i="1" s="1"/>
  <c r="K66" i="1"/>
  <c r="H106" i="1"/>
  <c r="I72" i="1"/>
  <c r="Q66" i="1"/>
  <c r="L61" i="1"/>
  <c r="R61" i="1"/>
  <c r="K19" i="1"/>
  <c r="I35" i="1"/>
  <c r="I106" i="1"/>
  <c r="R65" i="1"/>
  <c r="G35" i="1"/>
  <c r="G106" i="1"/>
  <c r="F107" i="1"/>
  <c r="F34" i="1"/>
  <c r="F72" i="1"/>
  <c r="D35" i="1"/>
  <c r="D106" i="1"/>
  <c r="E106" i="1"/>
  <c r="E35" i="1"/>
  <c r="J35" i="1"/>
  <c r="J106" i="1"/>
  <c r="M19" i="1"/>
  <c r="P67" i="1"/>
  <c r="M65" i="1"/>
  <c r="O61" i="1"/>
  <c r="N65" i="1"/>
  <c r="N67" i="1"/>
  <c r="O19" i="1"/>
  <c r="O65" i="1"/>
  <c r="P65" i="1"/>
  <c r="K61" i="1"/>
  <c r="O67" i="1"/>
  <c r="K6" i="1"/>
  <c r="K107" i="1" s="1"/>
  <c r="P6" i="1"/>
  <c r="P34" i="1" s="1"/>
  <c r="P106" i="1" s="1"/>
  <c r="M62" i="1"/>
  <c r="M63" i="1" s="1"/>
  <c r="O6" i="1"/>
  <c r="O107" i="1" s="1"/>
  <c r="L65" i="1"/>
  <c r="P61" i="1"/>
  <c r="N66" i="1"/>
  <c r="L19" i="1"/>
  <c r="R19" i="1"/>
  <c r="Q61" i="1"/>
  <c r="M6" i="1"/>
  <c r="M61" i="1"/>
  <c r="O62" i="1"/>
  <c r="O63" i="1" s="1"/>
  <c r="O66" i="1"/>
  <c r="K67" i="1"/>
  <c r="Q67" i="1"/>
  <c r="N6" i="1"/>
  <c r="N61" i="1"/>
  <c r="P62" i="1"/>
  <c r="P63" i="1" s="1"/>
  <c r="P66" i="1"/>
  <c r="L67" i="1"/>
  <c r="R67" i="1"/>
  <c r="M66" i="1"/>
  <c r="K62" i="1"/>
  <c r="K63" i="1" s="1"/>
  <c r="Q62" i="1"/>
  <c r="Q63" i="1" s="1"/>
  <c r="M67" i="1"/>
  <c r="Q72" i="1"/>
  <c r="L62" i="1"/>
  <c r="L63" i="1" s="1"/>
  <c r="R62" i="1"/>
  <c r="R63" i="1" s="1"/>
  <c r="L66" i="1"/>
  <c r="P69" i="1" s="1"/>
  <c r="P71" i="1" s="1"/>
  <c r="R66" i="1"/>
  <c r="P107" i="1"/>
  <c r="Q34" i="1"/>
  <c r="L6" i="1"/>
  <c r="R6" i="1"/>
  <c r="N62" i="1"/>
  <c r="N63" i="1" s="1"/>
  <c r="P72" i="1" l="1"/>
  <c r="P35" i="1"/>
  <c r="C35" i="1"/>
  <c r="F106" i="1"/>
  <c r="F35" i="1"/>
  <c r="K34" i="1"/>
  <c r="K106" i="1" s="1"/>
  <c r="K72" i="1"/>
  <c r="O72" i="1"/>
  <c r="K69" i="1"/>
  <c r="K71" i="1" s="1"/>
  <c r="O34" i="1"/>
  <c r="N69" i="1"/>
  <c r="N71" i="1" s="1"/>
  <c r="N68" i="1"/>
  <c r="N70" i="1" s="1"/>
  <c r="R69" i="1"/>
  <c r="R71" i="1" s="1"/>
  <c r="Q69" i="1"/>
  <c r="Q71" i="1" s="1"/>
  <c r="R68" i="1"/>
  <c r="R70" i="1" s="1"/>
  <c r="L107" i="1"/>
  <c r="L72" i="1"/>
  <c r="L34" i="1"/>
  <c r="O68" i="1"/>
  <c r="O70" i="1" s="1"/>
  <c r="O69" i="1"/>
  <c r="O71" i="1" s="1"/>
  <c r="M107" i="1"/>
  <c r="M34" i="1"/>
  <c r="M72" i="1"/>
  <c r="O106" i="1"/>
  <c r="O35" i="1"/>
  <c r="Q35" i="1"/>
  <c r="Q106" i="1"/>
  <c r="P68" i="1"/>
  <c r="P70" i="1" s="1"/>
  <c r="N72" i="1"/>
  <c r="N107" i="1"/>
  <c r="N34" i="1"/>
  <c r="Q68" i="1"/>
  <c r="Q70" i="1" s="1"/>
  <c r="M69" i="1"/>
  <c r="M71" i="1" s="1"/>
  <c r="M68" i="1"/>
  <c r="M70" i="1" s="1"/>
  <c r="K68" i="1"/>
  <c r="K70" i="1" s="1"/>
  <c r="R107" i="1"/>
  <c r="R72" i="1"/>
  <c r="R34" i="1"/>
  <c r="L69" i="1"/>
  <c r="L71" i="1" s="1"/>
  <c r="L68" i="1"/>
  <c r="L70" i="1" s="1"/>
  <c r="K35" i="1" l="1"/>
  <c r="L35" i="1"/>
  <c r="L106" i="1"/>
  <c r="N106" i="1"/>
  <c r="N35" i="1"/>
  <c r="R35" i="1"/>
  <c r="R106" i="1"/>
  <c r="M35" i="1"/>
  <c r="M106" i="1"/>
</calcChain>
</file>

<file path=xl/sharedStrings.xml><?xml version="1.0" encoding="utf-8"?>
<sst xmlns="http://schemas.openxmlformats.org/spreadsheetml/2006/main" count="290" uniqueCount="218">
  <si>
    <t>Lp.</t>
  </si>
  <si>
    <t>Wyszczególnienie</t>
  </si>
  <si>
    <t>2018</t>
  </si>
  <si>
    <t>2019</t>
  </si>
  <si>
    <t>2020</t>
  </si>
  <si>
    <t>2021</t>
  </si>
  <si>
    <t>2022</t>
  </si>
  <si>
    <t>2023</t>
  </si>
  <si>
    <t>2024 3kw.</t>
  </si>
  <si>
    <t>2024 pw.</t>
  </si>
  <si>
    <t>2025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</si>
  <si>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</si>
  <si>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</si>
  <si>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</si>
  <si>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</si>
  <si>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</si>
  <si>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</si>
  <si>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</si>
  <si>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</si>
  <si>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</si>
  <si>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</si>
  <si>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</si>
  <si>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</si>
  <si>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</si>
  <si>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</si>
  <si>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</si>
  <si>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</si>
  <si>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</si>
  <si>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</si>
  <si>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</si>
  <si>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</si>
  <si>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</si>
  <si>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</si>
  <si>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</si>
  <si>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1.1.x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</si>
  <si>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</si>
  <si>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</si>
  <si>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</si>
  <si>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</si>
  <si>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</si>
  <si>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</si>
  <si>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</si>
  <si>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1.2.x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</si>
  <si>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</si>
  <si>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</si>
  <si>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</si>
  <si>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</si>
  <si>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</si>
  <si>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</si>
  <si>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</si>
  <si>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</si>
  <si>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</si>
  <si>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</si>
  <si>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</si>
  <si>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</si>
  <si>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2.1.3.x</t>
  </si>
  <si>
    <t>odsetki i dyskonto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</si>
  <si>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</si>
  <si>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</si>
  <si>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</si>
  <si>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</si>
  <si>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</si>
  <si>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</si>
  <si>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2.1.x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</si>
  <si>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</si>
  <si>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</si>
  <si>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</si>
  <si>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</si>
  <si>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</si>
  <si>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</si>
  <si>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</si>
  <si>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</si>
  <si>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</si>
  <si>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</si>
  <si>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</si>
  <si>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</si>
  <si>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</si>
  <si>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</si>
  <si>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</si>
  <si>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</si>
  <si>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</si>
  <si>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</si>
  <si>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</si>
  <si>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</si>
  <si>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</si>
  <si>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</si>
  <si>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</si>
  <si>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</si>
  <si>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</si>
  <si>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</si>
  <si>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</si>
  <si>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</si>
  <si>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</si>
  <si>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</si>
  <si>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</si>
  <si>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</si>
  <si>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</si>
  <si>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</si>
  <si>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</si>
  <si>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</si>
  <si>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</si>
  <si>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</si>
  <si>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</si>
  <si>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</si>
  <si>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</si>
  <si>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</si>
  <si>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</si>
  <si>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</si>
  <si>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</si>
  <si>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</si>
  <si>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</si>
  <si>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</si>
  <si>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</si>
  <si>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</si>
  <si>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</si>
  <si>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</si>
  <si>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</si>
  <si>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</si>
  <si>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</si>
  <si>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</si>
  <si>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</si>
  <si>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</si>
  <si>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</si>
  <si>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</si>
  <si>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7.2</t>
  </si>
  <si>
    <t>Różnica między dochodami bieżącymi, skorygowanymi o środki, a wydatkami bieżącymi</t>
  </si>
  <si>
    <t>7.2.x</t>
  </si>
  <si>
    <t>Relacja z art. 242 ust. 1 ustawy o finansach publicznych skorygowana o planowane wydatki bieżące na realizację zadań związanych z pomocom obywatelom Ukrainy oraz organizacją Igrzysk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</si>
  <si>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</si>
  <si>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</si>
  <si>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</si>
  <si>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</si>
  <si>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</si>
  <si>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</si>
  <si>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8.2.x</t>
  </si>
  <si>
    <t>Wskaźnik jednoroczny określony po prawej stronie nierówności we wzorze, o którym mowa w art. 243 ust. 1 ustawy, ustalony dla danego roku (wskaźnik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</si>
  <si>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</si>
  <si>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</si>
  <si>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</si>
  <si>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</si>
  <si>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</si>
  <si>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</si>
  <si>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</si>
  <si>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</si>
  <si>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8.x</t>
  </si>
  <si>
    <t>Relacja łącznej kwoty długu do dochodów ogółem, pomniejszonych o planowane kwoty dotacji i środków o podobnym charakterze oraz powiększone o przychody z tytułów określonych w art. 217 ust. 2 pkt 4-8 uofp, nieprzeznaczone na sfinansowanie deficytu budżetowego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</si>
  <si>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</si>
  <si>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</si>
  <si>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</si>
  <si>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</si>
  <si>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</si>
  <si>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</si>
  <si>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</si>
  <si>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</si>
  <si>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</si>
  <si>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</si>
  <si>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</si>
  <si>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</si>
  <si>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</si>
  <si>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</si>
  <si>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</si>
  <si>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</si>
  <si>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</si>
  <si>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</si>
  <si>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</si>
  <si>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</si>
  <si>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</si>
  <si>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</si>
  <si>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</si>
  <si>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</si>
  <si>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</si>
  <si>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</si>
  <si>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</si>
  <si>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</si>
  <si>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</si>
  <si>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</si>
  <si>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</si>
  <si>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</si>
  <si>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</si>
  <si>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</si>
  <si>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</si>
  <si>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</si>
  <si>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</si>
  <si>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</si>
  <si>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</si>
  <si>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</si>
  <si>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</si>
  <si>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</si>
  <si>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</si>
  <si>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</si>
  <si>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</si>
  <si>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</si>
  <si>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</si>
  <si>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</si>
  <si>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</si>
  <si>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</si>
  <si>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</si>
  <si>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</si>
  <si>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</si>
  <si>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</si>
  <si>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</si>
  <si>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</si>
  <si>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</si>
  <si>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</si>
  <si>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</si>
  <si>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</si>
  <si>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</si>
  <si>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</si>
  <si>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10.11.x</t>
  </si>
  <si>
    <t>Planowane wydatki bieżące podlegające ustawowemu wyłączeniu z limitu spłaty zobowiązań</t>
  </si>
  <si>
    <t>13</t>
  </si>
  <si>
    <t>Rozliczenie budżetu</t>
  </si>
  <si>
    <t>13z</t>
  </si>
  <si>
    <t>Zdolność inwestycyjna</t>
  </si>
  <si>
    <t xml:space="preserve">Załącznik Nr 1 do Uchwały </t>
  </si>
  <si>
    <t>Rady Powiatu Świdwińskiego</t>
  </si>
  <si>
    <t>WIELOLETNIA PROGNOZA FINANSOWA POWIATU ŚWIDWIŃSKIEGO NA LATA 2025-2032</t>
  </si>
  <si>
    <t>Nr XVI/84/25 z dnia 25.09.2025r.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</si>
</sst>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b/>
      <sz val="8"/>
      <color rgb="FFFF0000"/>
      <name val="Times New Roman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"/>
  <sheetViews>
    <sheetView tabSelected="1"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N8" sqref="N8"/>
    </sheetView>
  </sheetViews>
  <sheetFormatPr defaultRowHeight="14.4" x14ac:dyDescent="0.3"/>
  <cols>
    <col min="1" max="1" width="7.109375" customWidth="1"/>
    <col min="2" max="2" width="60.109375" customWidth="1"/>
    <col min="3" max="9" width="2.88671875" hidden="1" customWidth="1"/>
    <col min="10" max="10" width="12.109375" hidden="1" customWidth="1"/>
    <col min="11" max="18" width="14.33203125" customWidth="1"/>
  </cols>
  <sheetData>
    <row r="1" spans="1:18" s="26" customFormat="1" ht="13.8" x14ac:dyDescent="0.25">
      <c r="A1" s="25"/>
      <c r="Q1" s="27" t="s">
        <v>214</v>
      </c>
    </row>
    <row r="2" spans="1:18" s="26" customFormat="1" ht="13.8" x14ac:dyDescent="0.25">
      <c r="A2" s="25"/>
      <c r="Q2" s="27" t="s">
        <v>215</v>
      </c>
    </row>
    <row r="3" spans="1:18" s="26" customFormat="1" ht="15.6" x14ac:dyDescent="0.3">
      <c r="A3" s="25"/>
      <c r="K3" s="28" t="s">
        <v>216</v>
      </c>
      <c r="Q3" s="27" t="s">
        <v>217</v>
      </c>
    </row>
    <row r="4" spans="1:18" x14ac:dyDescent="0.3">
      <c r="A4" s="24"/>
    </row>
    <row r="5" spans="1:18" s="24" customFormat="1" ht="30" customHeight="1" x14ac:dyDescent="0.3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3" t="s">
        <v>16</v>
      </c>
      <c r="R5" s="23" t="s">
        <v>17</v>
      </c>
    </row>
    <row r="6" spans="1:18" ht="30" customHeight="1" x14ac:dyDescent="0.3">
      <c r="A6" s="1" t="s">
        <v>18</v>
      </c>
      <c r="B6" s="2" t="s">
        <v>19</v>
      </c>
      <c r="C6" s="3">
        <f>IF(ISNUMBER(VLOOKUP("1.1",A6:R108,3,FALSE)),ROUND(VLOOKUP("1.1",A6:R108,3,FALSE),4),0) + IF(ISNUMBER(VLOOKUP("1.2",A6:R108,3,FALSE)),ROUND(VLOOKUP("1.2",A6:R108,3,FALSE),4),0)</f>
        <v>72617541.370000005</v>
      </c>
      <c r="D6" s="3">
        <f>IF(ISNUMBER(VLOOKUP("1.1",A6:R108,4,FALSE)),ROUND(VLOOKUP("1.1",A6:R108,4,FALSE),4),0) + IF(ISNUMBER(VLOOKUP("1.2",A6:R108,4,FALSE)),ROUND(VLOOKUP("1.2",A6:R108,4,FALSE),4),0)</f>
        <v>73395538.540000007</v>
      </c>
      <c r="E6" s="3">
        <f>IF(ISNUMBER(VLOOKUP("1.1",A6:R108,5,FALSE)),ROUND(VLOOKUP("1.1",A6:R108,5,FALSE),4),0) + IF(ISNUMBER(VLOOKUP("1.2",A6:R108,5,FALSE)),ROUND(VLOOKUP("1.2",A6:R108,5,FALSE),4),0)</f>
        <v>86306723.230000004</v>
      </c>
      <c r="F6" s="3">
        <f>IF(ISNUMBER(VLOOKUP("1.1",A6:R108,6,FALSE)),ROUND(VLOOKUP("1.1",A6:R108,6,FALSE),4),0) + IF(ISNUMBER(VLOOKUP("1.2",A6:R108,6,FALSE)),ROUND(VLOOKUP("1.2",A6:R108,6,FALSE),4),0)</f>
        <v>87044976.429999992</v>
      </c>
      <c r="G6" s="3">
        <f>IF(ISNUMBER(VLOOKUP("1.1",A6:R108,7,FALSE)),ROUND(VLOOKUP("1.1",A6:R108,7,FALSE),4),0) + IF(ISNUMBER(VLOOKUP("1.2",A6:R108,7,FALSE)),ROUND(VLOOKUP("1.2",A6:R108,7,FALSE),4),0)</f>
        <v>111267351.47</v>
      </c>
      <c r="H6" s="3">
        <f>IF(ISNUMBER(VLOOKUP("1.1",A6:R108,8,FALSE)),ROUND(VLOOKUP("1.1",A6:R108,8,FALSE),4),0) + IF(ISNUMBER(VLOOKUP("1.2",A6:R108,8,FALSE)),ROUND(VLOOKUP("1.2",A6:R108,8,FALSE),4),0)</f>
        <v>101987564.34999999</v>
      </c>
      <c r="I6" s="3">
        <f>IF(ISNUMBER(VLOOKUP("1.1",A6:R108,9,FALSE)),ROUND(VLOOKUP("1.1",A6:R108,9,FALSE),4),0) + IF(ISNUMBER(VLOOKUP("1.2",A6:R108,9,FALSE)),ROUND(VLOOKUP("1.2",A6:R108,9,FALSE),4),0)</f>
        <v>143619444</v>
      </c>
      <c r="J6" s="3">
        <f>IF(ISNUMBER(VLOOKUP("1.1",A6:R108,10,FALSE)),ROUND(VLOOKUP("1.1",A6:R108,10,FALSE),4),0) + IF(ISNUMBER(VLOOKUP("1.2",A6:R108,10,FALSE)),ROUND(VLOOKUP("1.2",A6:R108,10,FALSE),4),0)</f>
        <v>142113191.75</v>
      </c>
      <c r="K6" s="4">
        <f>IF(ISNUMBER(VLOOKUP("1.1",A6:R108,11,FALSE)),ROUND(VLOOKUP("1.1",A6:R108,11,FALSE),4),0) + IF(ISNUMBER(VLOOKUP("1.2",A6:R108,11,FALSE)),ROUND(VLOOKUP("1.2",A6:R108,11,FALSE),4),0)</f>
        <v>153611051.26999998</v>
      </c>
      <c r="L6" s="4">
        <f>IF(ISNUMBER(VLOOKUP("1.1",A6:R108,12,FALSE)),ROUND(VLOOKUP("1.1",A6:R108,12,FALSE),4),0) + IF(ISNUMBER(VLOOKUP("1.2",A6:R108,12,FALSE)),ROUND(VLOOKUP("1.2",A6:R108,12,FALSE),4),0)</f>
        <v>138954896</v>
      </c>
      <c r="M6" s="4">
        <f>IF(ISNUMBER(VLOOKUP("1.1",A6:R108,13,FALSE)),ROUND(VLOOKUP("1.1",A6:R108,13,FALSE),4),0) + IF(ISNUMBER(VLOOKUP("1.2",A6:R108,13,FALSE)),ROUND(VLOOKUP("1.2",A6:R108,13,FALSE),4),0)</f>
        <v>138174087</v>
      </c>
      <c r="N6" s="4">
        <f>IF(ISNUMBER(VLOOKUP("1.1",A6:R108,14,FALSE)),ROUND(VLOOKUP("1.1",A6:R108,14,FALSE),4),0) + IF(ISNUMBER(VLOOKUP("1.2",A6:R108,14,FALSE)),ROUND(VLOOKUP("1.2",A6:R108,14,FALSE),4),0)</f>
        <v>138324231</v>
      </c>
      <c r="O6" s="4">
        <f>IF(ISNUMBER(VLOOKUP("1.1",A6:R108,15,FALSE)),ROUND(VLOOKUP("1.1",A6:R108,15,FALSE),4),0) + IF(ISNUMBER(VLOOKUP("1.2",A6:R108,15,FALSE)),ROUND(VLOOKUP("1.2",A6:R108,15,FALSE),4),0)</f>
        <v>141873547</v>
      </c>
      <c r="P6" s="4">
        <f>IF(ISNUMBER(VLOOKUP("1.1",A6:R108,16,FALSE)),ROUND(VLOOKUP("1.1",A6:R108,16,FALSE),4),0) + IF(ISNUMBER(VLOOKUP("1.2",A6:R108,16,FALSE)),ROUND(VLOOKUP("1.2",A6:R108,16,FALSE),4),0)</f>
        <v>145315195</v>
      </c>
      <c r="Q6" s="4">
        <f>IF(ISNUMBER(VLOOKUP("1.1",A6:R108,17,FALSE)),ROUND(VLOOKUP("1.1",A6:R108,17,FALSE),4),0) + IF(ISNUMBER(VLOOKUP("1.2",A6:R108,17,FALSE)),ROUND(VLOOKUP("1.2",A6:R108,17,FALSE),4),0)</f>
        <v>148875418</v>
      </c>
      <c r="R6" s="4">
        <f>IF(ISNUMBER(VLOOKUP("1.1",A6:R108,18,FALSE)),ROUND(VLOOKUP("1.1",A6:R108,18,FALSE),4),0) + IF(ISNUMBER(VLOOKUP("1.2",A6:R108,18,FALSE)),ROUND(VLOOKUP("1.2",A6:R108,18,FALSE),4),0)</f>
        <v>152299552</v>
      </c>
    </row>
    <row r="7" spans="1:18" ht="30" customHeight="1" x14ac:dyDescent="0.3">
      <c r="A7" s="1" t="s">
        <v>20</v>
      </c>
      <c r="B7" s="2" t="s">
        <v>21</v>
      </c>
      <c r="C7" s="3">
        <f>IF(ISNUMBER(VLOOKUP("1.1.1",A6:R108,3,FALSE)),ROUND(VLOOKUP("1.1.1",A6:R108,3,FALSE),4),0) + IF(ISNUMBER(VLOOKUP("1.1.2",A6:R108,3,FALSE)),ROUND(VLOOKUP("1.1.2",A6:R108,3,FALSE),4),0) + IF(ISNUMBER(VLOOKUP("1.1.3",A6:R108,3,FALSE)),ROUND(VLOOKUP("1.1.3",A6:R108,3,FALSE),4),0) + IF(ISNUMBER(VLOOKUP("1.1.4",A6:R108,3,FALSE)),ROUND(VLOOKUP("1.1.4",A6:R108,3,FALSE),4),0) + IF(ISNUMBER(VLOOKUP("1.1.5",A6:R108,3,FALSE)),ROUND(VLOOKUP("1.1.5",A6:R108,3,FALSE),4),0) + IF(ISNA(VLOOKUP("1.1.x",A6:R108,3,FALSE)),0,ROUND(VLOOKUP("1.1.x",A6:R108,3,FALSE),4))</f>
        <v>65558325.650000006</v>
      </c>
      <c r="D7" s="3">
        <f>IF(ISNUMBER(VLOOKUP("1.1.1",A6:R108,4,FALSE)),ROUND(VLOOKUP("1.1.1",A6:R108,4,FALSE),4),0) + IF(ISNUMBER(VLOOKUP("1.1.2",A6:R108,4,FALSE)),ROUND(VLOOKUP("1.1.2",A6:R108,4,FALSE),4),0) + IF(ISNUMBER(VLOOKUP("1.1.3",A6:R108,4,FALSE)),ROUND(VLOOKUP("1.1.3",A6:R108,4,FALSE),4),0) + IF(ISNUMBER(VLOOKUP("1.1.4",A6:R108,4,FALSE)),ROUND(VLOOKUP("1.1.4",A6:R108,4,FALSE),4),0) + IF(ISNUMBER(VLOOKUP("1.1.5",A6:R108,4,FALSE)),ROUND(VLOOKUP("1.1.5",A6:R108,4,FALSE),4),0) + IF(ISNA(VLOOKUP("1.1.x",A6:R108,4,FALSE)),0,ROUND(VLOOKUP("1.1.x",A6:R108,4,FALSE),4))</f>
        <v>71772381.810000002</v>
      </c>
      <c r="E7" s="3">
        <f>IF(ISNUMBER(VLOOKUP("1.1.1",A6:R108,5,FALSE)),ROUND(VLOOKUP("1.1.1",A6:R108,5,FALSE),4),0) + IF(ISNUMBER(VLOOKUP("1.1.2",A6:R108,5,FALSE)),ROUND(VLOOKUP("1.1.2",A6:R108,5,FALSE),4),0) + IF(ISNUMBER(VLOOKUP("1.1.3",A6:R108,5,FALSE)),ROUND(VLOOKUP("1.1.3",A6:R108,5,FALSE),4),0) + IF(ISNUMBER(VLOOKUP("1.1.4",A6:R108,5,FALSE)),ROUND(VLOOKUP("1.1.4",A6:R108,5,FALSE),4),0) + IF(ISNUMBER(VLOOKUP("1.1.5",A6:R108,5,FALSE)),ROUND(VLOOKUP("1.1.5",A6:R108,5,FALSE),4),0) + IF(ISNA(VLOOKUP("1.1.x",A6:R108,5,FALSE)),0,ROUND(VLOOKUP("1.1.x",A6:R108,5,FALSE),4))</f>
        <v>79140717.480000004</v>
      </c>
      <c r="F7" s="3">
        <f>IF(ISNUMBER(VLOOKUP("1.1.1",A6:R108,6,FALSE)),ROUND(VLOOKUP("1.1.1",A6:R108,6,FALSE),4),0) + IF(ISNUMBER(VLOOKUP("1.1.2",A6:R108,6,FALSE)),ROUND(VLOOKUP("1.1.2",A6:R108,6,FALSE),4),0) + IF(ISNUMBER(VLOOKUP("1.1.3",A6:R108,6,FALSE)),ROUND(VLOOKUP("1.1.3",A6:R108,6,FALSE),4),0) + IF(ISNUMBER(VLOOKUP("1.1.4",A6:R108,6,FALSE)),ROUND(VLOOKUP("1.1.4",A6:R108,6,FALSE),4),0) + IF(ISNUMBER(VLOOKUP("1.1.5",A6:R108,6,FALSE)),ROUND(VLOOKUP("1.1.5",A6:R108,6,FALSE),4),0) + IF(ISNA(VLOOKUP("1.1.x",A6:R108,6,FALSE)),0,ROUND(VLOOKUP("1.1.x",A6:R108,6,FALSE),4))</f>
        <v>83346087.569999993</v>
      </c>
      <c r="G7" s="3">
        <f>IF(ISNUMBER(VLOOKUP("1.1.1",A6:R108,7,FALSE)),ROUND(VLOOKUP("1.1.1",A6:R108,7,FALSE),4),0) + IF(ISNUMBER(VLOOKUP("1.1.2",A6:R108,7,FALSE)),ROUND(VLOOKUP("1.1.2",A6:R108,7,FALSE),4),0) + IF(ISNUMBER(VLOOKUP("1.1.3",A6:R108,7,FALSE)),ROUND(VLOOKUP("1.1.3",A6:R108,7,FALSE),4),0) + IF(ISNUMBER(VLOOKUP("1.1.4",A6:R108,7,FALSE)),ROUND(VLOOKUP("1.1.4",A6:R108,7,FALSE),4),0) + IF(ISNUMBER(VLOOKUP("1.1.5",A6:R108,7,FALSE)),ROUND(VLOOKUP("1.1.5",A6:R108,7,FALSE),4),0) + IF(ISNA(VLOOKUP("1.1.x",A6:R108,7,FALSE)),0,ROUND(VLOOKUP("1.1.x",A6:R108,7,FALSE),4))</f>
        <v>93039984.660000011</v>
      </c>
      <c r="H7" s="3">
        <f>IF(ISNUMBER(VLOOKUP("1.1.1",A6:R108,8,FALSE)),ROUND(VLOOKUP("1.1.1",A6:R108,8,FALSE),4),0) + IF(ISNUMBER(VLOOKUP("1.1.2",A6:R108,8,FALSE)),ROUND(VLOOKUP("1.1.2",A6:R108,8,FALSE),4),0) + IF(ISNUMBER(VLOOKUP("1.1.3",A6:R108,8,FALSE)),ROUND(VLOOKUP("1.1.3",A6:R108,8,FALSE),4),0) + IF(ISNUMBER(VLOOKUP("1.1.4",A6:R108,8,FALSE)),ROUND(VLOOKUP("1.1.4",A6:R108,8,FALSE),4),0) + IF(ISNUMBER(VLOOKUP("1.1.5",A6:R108,8,FALSE)),ROUND(VLOOKUP("1.1.5",A6:R108,8,FALSE),4),0) + IF(ISNA(VLOOKUP("1.1.x",A6:R108,8,FALSE)),0,ROUND(VLOOKUP("1.1.x",A6:R108,8,FALSE),4))</f>
        <v>95048631.720000014</v>
      </c>
      <c r="I7" s="3">
        <f>IF(ISNUMBER(VLOOKUP("1.1.1",A6:R108,9,FALSE)),ROUND(VLOOKUP("1.1.1",A6:R108,9,FALSE),4),0) + IF(ISNUMBER(VLOOKUP("1.1.2",A6:R108,9,FALSE)),ROUND(VLOOKUP("1.1.2",A6:R108,9,FALSE),4),0) + IF(ISNUMBER(VLOOKUP("1.1.3",A6:R108,9,FALSE)),ROUND(VLOOKUP("1.1.3",A6:R108,9,FALSE),4),0) + IF(ISNUMBER(VLOOKUP("1.1.4",A6:R108,9,FALSE)),ROUND(VLOOKUP("1.1.4",A6:R108,9,FALSE),4),0) + IF(ISNUMBER(VLOOKUP("1.1.5",A6:R108,9,FALSE)),ROUND(VLOOKUP("1.1.5",A6:R108,9,FALSE),4),0) + IF(ISNA(VLOOKUP("1.1.x",A6:R108,9,FALSE)),0,ROUND(VLOOKUP("1.1.x",A6:R108,9,FALSE),4))</f>
        <v>122205017</v>
      </c>
      <c r="J7" s="3">
        <f>IF(ISNUMBER(VLOOKUP("1.1.1",A6:R108,10,FALSE)),ROUND(VLOOKUP("1.1.1",A6:R108,10,FALSE),4),0) + IF(ISNUMBER(VLOOKUP("1.1.2",A6:R108,10,FALSE)),ROUND(VLOOKUP("1.1.2",A6:R108,10,FALSE),4),0) + IF(ISNUMBER(VLOOKUP("1.1.3",A6:R108,10,FALSE)),ROUND(VLOOKUP("1.1.3",A6:R108,10,FALSE),4),0) + IF(ISNUMBER(VLOOKUP("1.1.4",A6:R108,10,FALSE)),ROUND(VLOOKUP("1.1.4",A6:R108,10,FALSE),4),0) + IF(ISNUMBER(VLOOKUP("1.1.5",A6:R108,10,FALSE)),ROUND(VLOOKUP("1.1.5",A6:R108,10,FALSE),4),0) + IF(ISNA(VLOOKUP("1.1.x",A6:R108,10,FALSE)),0,ROUND(VLOOKUP("1.1.x",A6:R108,10,FALSE),4))</f>
        <v>127064881.03999999</v>
      </c>
      <c r="K7" s="4">
        <f>IF(ISNUMBER(VLOOKUP("1.1.1",A6:R108,11,FALSE)),ROUND(VLOOKUP("1.1.1",A6:R108,11,FALSE),4),0) + IF(ISNUMBER(VLOOKUP("1.1.2",A6:R108,11,FALSE)),ROUND(VLOOKUP("1.1.2",A6:R108,11,FALSE),4),0) + IF(ISNUMBER(VLOOKUP("1.1.3",A6:R108,11,FALSE)),ROUND(VLOOKUP("1.1.3",A6:R108,11,FALSE),4),0) + IF(ISNUMBER(VLOOKUP("1.1.4",A6:R108,11,FALSE)),ROUND(VLOOKUP("1.1.4",A6:R108,11,FALSE),4),0) + IF(ISNUMBER(VLOOKUP("1.1.5",A6:R108,11,FALSE)),ROUND(VLOOKUP("1.1.5",A6:R108,11,FALSE),4),0) + IF(ISNA(VLOOKUP("1.1.x",A6:R108,11,FALSE)),0,ROUND(VLOOKUP("1.1.x",A6:R108,11,FALSE),4))</f>
        <v>134005085.27</v>
      </c>
      <c r="L7" s="4">
        <f>IF(ISNUMBER(VLOOKUP("1.1.1",A6:R108,12,FALSE)),ROUND(VLOOKUP("1.1.1",A6:R108,12,FALSE),4),0) + IF(ISNUMBER(VLOOKUP("1.1.2",A6:R108,12,FALSE)),ROUND(VLOOKUP("1.1.2",A6:R108,12,FALSE),4),0) + IF(ISNUMBER(VLOOKUP("1.1.3",A6:R108,12,FALSE)),ROUND(VLOOKUP("1.1.3",A6:R108,12,FALSE),4),0) + IF(ISNUMBER(VLOOKUP("1.1.4",A6:R108,12,FALSE)),ROUND(VLOOKUP("1.1.4",A6:R108,12,FALSE),4),0) + IF(ISNUMBER(VLOOKUP("1.1.5",A6:R108,12,FALSE)),ROUND(VLOOKUP("1.1.5",A6:R108,12,FALSE),4),0) + IF(ISNA(VLOOKUP("1.1.x",A6:R108,12,FALSE)),0,ROUND(VLOOKUP("1.1.x",A6:R108,12,FALSE),4))</f>
        <v>131119001</v>
      </c>
      <c r="M7" s="4">
        <f>IF(ISNUMBER(VLOOKUP("1.1.1",A6:R108,13,FALSE)),ROUND(VLOOKUP("1.1.1",A6:R108,13,FALSE),4),0) + IF(ISNUMBER(VLOOKUP("1.1.2",A6:R108,13,FALSE)),ROUND(VLOOKUP("1.1.2",A6:R108,13,FALSE),4),0) + IF(ISNUMBER(VLOOKUP("1.1.3",A6:R108,13,FALSE)),ROUND(VLOOKUP("1.1.3",A6:R108,13,FALSE),4),0) + IF(ISNUMBER(VLOOKUP("1.1.4",A6:R108,13,FALSE)),ROUND(VLOOKUP("1.1.4",A6:R108,13,FALSE),4),0) + IF(ISNUMBER(VLOOKUP("1.1.5",A6:R108,13,FALSE)),ROUND(VLOOKUP("1.1.5",A6:R108,13,FALSE),4),0) + IF(ISNA(VLOOKUP("1.1.x",A6:R108,13,FALSE)),0,ROUND(VLOOKUP("1.1.x",A6:R108,13,FALSE),4))</f>
        <v>134322012</v>
      </c>
      <c r="N7" s="4">
        <f>IF(ISNUMBER(VLOOKUP("1.1.1",A6:R108,14,FALSE)),ROUND(VLOOKUP("1.1.1",A6:R108,14,FALSE),4),0) + IF(ISNUMBER(VLOOKUP("1.1.2",A6:R108,14,FALSE)),ROUND(VLOOKUP("1.1.2",A6:R108,14,FALSE),4),0) + IF(ISNUMBER(VLOOKUP("1.1.3",A6:R108,14,FALSE)),ROUND(VLOOKUP("1.1.3",A6:R108,14,FALSE),4),0) + IF(ISNUMBER(VLOOKUP("1.1.4",A6:R108,14,FALSE)),ROUND(VLOOKUP("1.1.4",A6:R108,14,FALSE),4),0) + IF(ISNUMBER(VLOOKUP("1.1.5",A6:R108,14,FALSE)),ROUND(VLOOKUP("1.1.5",A6:R108,14,FALSE),4),0) + IF(ISNA(VLOOKUP("1.1.x",A6:R108,14,FALSE)),0,ROUND(VLOOKUP("1.1.x",A6:R108,14,FALSE),4))</f>
        <v>138206231</v>
      </c>
      <c r="O7" s="4">
        <f>IF(ISNUMBER(VLOOKUP("1.1.1",A6:R108,15,FALSE)),ROUND(VLOOKUP("1.1.1",A6:R108,15,FALSE),4),0) + IF(ISNUMBER(VLOOKUP("1.1.2",A6:R108,15,FALSE)),ROUND(VLOOKUP("1.1.2",A6:R108,15,FALSE),4),0) + IF(ISNUMBER(VLOOKUP("1.1.3",A6:R108,15,FALSE)),ROUND(VLOOKUP("1.1.3",A6:R108,15,FALSE),4),0) + IF(ISNUMBER(VLOOKUP("1.1.4",A6:R108,15,FALSE)),ROUND(VLOOKUP("1.1.4",A6:R108,15,FALSE),4),0) + IF(ISNUMBER(VLOOKUP("1.1.5",A6:R108,15,FALSE)),ROUND(VLOOKUP("1.1.5",A6:R108,15,FALSE),4),0) + IF(ISNA(VLOOKUP("1.1.x",A6:R108,15,FALSE)),0,ROUND(VLOOKUP("1.1.x",A6:R108,15,FALSE),4))</f>
        <v>141818547</v>
      </c>
      <c r="P7" s="4">
        <f>IF(ISNUMBER(VLOOKUP("1.1.1",A6:R108,16,FALSE)),ROUND(VLOOKUP("1.1.1",A6:R108,16,FALSE),4),0) + IF(ISNUMBER(VLOOKUP("1.1.2",A6:R108,16,FALSE)),ROUND(VLOOKUP("1.1.2",A6:R108,16,FALSE),4),0) + IF(ISNUMBER(VLOOKUP("1.1.3",A6:R108,16,FALSE)),ROUND(VLOOKUP("1.1.3",A6:R108,16,FALSE),4),0) + IF(ISNUMBER(VLOOKUP("1.1.4",A6:R108,16,FALSE)),ROUND(VLOOKUP("1.1.4",A6:R108,16,FALSE),4),0) + IF(ISNUMBER(VLOOKUP("1.1.5",A6:R108,16,FALSE)),ROUND(VLOOKUP("1.1.5",A6:R108,16,FALSE),4),0) + IF(ISNA(VLOOKUP("1.1.x",A6:R108,16,FALSE)),0,ROUND(VLOOKUP("1.1.x",A6:R108,16,FALSE),4))</f>
        <v>145315195</v>
      </c>
      <c r="Q7" s="4">
        <f>IF(ISNUMBER(VLOOKUP("1.1.1",A6:R108,17,FALSE)),ROUND(VLOOKUP("1.1.1",A6:R108,17,FALSE),4),0) + IF(ISNUMBER(VLOOKUP("1.1.2",A6:R108,17,FALSE)),ROUND(VLOOKUP("1.1.2",A6:R108,17,FALSE),4),0) + IF(ISNUMBER(VLOOKUP("1.1.3",A6:R108,17,FALSE)),ROUND(VLOOKUP("1.1.3",A6:R108,17,FALSE),4),0) + IF(ISNUMBER(VLOOKUP("1.1.4",A6:R108,17,FALSE)),ROUND(VLOOKUP("1.1.4",A6:R108,17,FALSE),4),0) + IF(ISNUMBER(VLOOKUP("1.1.5",A6:R108,17,FALSE)),ROUND(VLOOKUP("1.1.5",A6:R108,17,FALSE),4),0) + IF(ISNA(VLOOKUP("1.1.x",A6:R108,17,FALSE)),0,ROUND(VLOOKUP("1.1.x",A6:R108,17,FALSE),4))</f>
        <v>148875418</v>
      </c>
      <c r="R7" s="4">
        <f>IF(ISNUMBER(VLOOKUP("1.1.1",A6:R108,18,FALSE)),ROUND(VLOOKUP("1.1.1",A6:R108,18,FALSE),4),0) + IF(ISNUMBER(VLOOKUP("1.1.2",A6:R108,18,FALSE)),ROUND(VLOOKUP("1.1.2",A6:R108,18,FALSE),4),0) + IF(ISNUMBER(VLOOKUP("1.1.3",A6:R108,18,FALSE)),ROUND(VLOOKUP("1.1.3",A6:R108,18,FALSE),4),0) + IF(ISNUMBER(VLOOKUP("1.1.4",A6:R108,18,FALSE)),ROUND(VLOOKUP("1.1.4",A6:R108,18,FALSE),4),0) + IF(ISNUMBER(VLOOKUP("1.1.5",A6:R108,18,FALSE)),ROUND(VLOOKUP("1.1.5",A6:R108,18,FALSE),4),0) + IF(ISNA(VLOOKUP("1.1.x",A6:R108,18,FALSE)),0,ROUND(VLOOKUP("1.1.x",A6:R108,18,FALSE),4))</f>
        <v>152299552</v>
      </c>
    </row>
    <row r="8" spans="1:18" ht="30" customHeight="1" x14ac:dyDescent="0.3">
      <c r="A8" s="5" t="s">
        <v>22</v>
      </c>
      <c r="B8" s="6" t="s">
        <v>23</v>
      </c>
      <c r="C8" s="7">
        <v>8371291</v>
      </c>
      <c r="D8" s="7">
        <v>8989043</v>
      </c>
      <c r="E8" s="7">
        <v>8641304</v>
      </c>
      <c r="F8" s="7">
        <v>9732422</v>
      </c>
      <c r="G8" s="7">
        <v>14188319.199999999</v>
      </c>
      <c r="H8" s="7">
        <v>7802506</v>
      </c>
      <c r="I8" s="7">
        <v>10561099</v>
      </c>
      <c r="J8" s="7">
        <v>11759824</v>
      </c>
      <c r="K8" s="8">
        <v>34224781.469999999</v>
      </c>
      <c r="L8" s="8">
        <v>35354199</v>
      </c>
      <c r="M8" s="8">
        <v>36361794</v>
      </c>
      <c r="N8" s="8">
        <v>37325382</v>
      </c>
      <c r="O8" s="8">
        <v>38314505</v>
      </c>
      <c r="P8" s="8">
        <v>39272368</v>
      </c>
      <c r="Q8" s="8">
        <v>40234541</v>
      </c>
      <c r="R8" s="8">
        <v>41159935</v>
      </c>
    </row>
    <row r="9" spans="1:18" ht="30" customHeight="1" x14ac:dyDescent="0.3">
      <c r="A9" s="5" t="s">
        <v>24</v>
      </c>
      <c r="B9" s="6" t="s">
        <v>25</v>
      </c>
      <c r="C9" s="7">
        <v>157063.95000000001</v>
      </c>
      <c r="D9" s="7">
        <v>177334.83</v>
      </c>
      <c r="E9" s="7">
        <v>189437.1</v>
      </c>
      <c r="F9" s="7">
        <v>307143.7</v>
      </c>
      <c r="G9" s="7">
        <v>250442.97</v>
      </c>
      <c r="H9" s="7">
        <v>398200</v>
      </c>
      <c r="I9" s="7">
        <v>532426</v>
      </c>
      <c r="J9" s="7">
        <v>532426</v>
      </c>
      <c r="K9" s="8">
        <v>3125778.17</v>
      </c>
      <c r="L9" s="8">
        <v>3228929</v>
      </c>
      <c r="M9" s="8">
        <v>3320953</v>
      </c>
      <c r="N9" s="8">
        <v>3408958</v>
      </c>
      <c r="O9" s="8">
        <v>3499295</v>
      </c>
      <c r="P9" s="8">
        <v>3586777</v>
      </c>
      <c r="Q9" s="8">
        <v>3674653</v>
      </c>
      <c r="R9" s="8">
        <v>3759170</v>
      </c>
    </row>
    <row r="10" spans="1:18" ht="30" customHeight="1" x14ac:dyDescent="0.3">
      <c r="A10" s="5" t="s">
        <v>26</v>
      </c>
      <c r="B10" s="6" t="s">
        <v>27</v>
      </c>
      <c r="C10" s="7">
        <v>34195328</v>
      </c>
      <c r="D10" s="7">
        <v>38748657</v>
      </c>
      <c r="E10" s="7">
        <v>44019401</v>
      </c>
      <c r="F10" s="7">
        <v>45191319</v>
      </c>
      <c r="G10" s="7">
        <v>45065042</v>
      </c>
      <c r="H10" s="7">
        <v>51782722.950000003</v>
      </c>
      <c r="I10" s="7">
        <v>70060682</v>
      </c>
      <c r="J10" s="7">
        <v>71861957</v>
      </c>
      <c r="K10" s="8">
        <v>56586302.950000003</v>
      </c>
      <c r="L10" s="8">
        <v>57941695</v>
      </c>
      <c r="M10" s="8">
        <v>59593033</v>
      </c>
      <c r="N10" s="8">
        <v>61172248</v>
      </c>
      <c r="O10" s="8">
        <v>62793313</v>
      </c>
      <c r="P10" s="8">
        <v>64363146</v>
      </c>
      <c r="Q10" s="8">
        <v>65940043</v>
      </c>
      <c r="R10" s="8">
        <v>67456664</v>
      </c>
    </row>
    <row r="11" spans="1:18" ht="30" customHeight="1" x14ac:dyDescent="0.3">
      <c r="A11" s="5" t="s">
        <v>28</v>
      </c>
      <c r="B11" s="6" t="s">
        <v>29</v>
      </c>
      <c r="C11" s="7">
        <v>12873606.289999999</v>
      </c>
      <c r="D11" s="7">
        <v>13597429.800000001</v>
      </c>
      <c r="E11" s="7">
        <v>15805369.98</v>
      </c>
      <c r="F11" s="7">
        <v>16941434.190000001</v>
      </c>
      <c r="G11" s="7">
        <v>19092994.850000001</v>
      </c>
      <c r="H11" s="7">
        <v>19074119.370000001</v>
      </c>
      <c r="I11" s="7">
        <v>24802099</v>
      </c>
      <c r="J11" s="7">
        <v>25049870.289999999</v>
      </c>
      <c r="K11" s="8">
        <v>21912372.27</v>
      </c>
      <c r="L11" s="8">
        <v>17433068</v>
      </c>
      <c r="M11" s="8">
        <v>17734948</v>
      </c>
      <c r="N11" s="8">
        <v>18181870</v>
      </c>
      <c r="O11" s="8">
        <v>18613540</v>
      </c>
      <c r="P11" s="8">
        <v>19030063</v>
      </c>
      <c r="Q11" s="8">
        <v>19496300</v>
      </c>
      <c r="R11" s="8">
        <v>19944715</v>
      </c>
    </row>
    <row r="12" spans="1:18" ht="30" customHeight="1" x14ac:dyDescent="0.3">
      <c r="A12" s="5" t="s">
        <v>30</v>
      </c>
      <c r="B12" s="6" t="s">
        <v>31</v>
      </c>
      <c r="C12" s="7">
        <v>9961036.4100000001</v>
      </c>
      <c r="D12" s="7">
        <v>10259917.18</v>
      </c>
      <c r="E12" s="7">
        <v>10485205.4</v>
      </c>
      <c r="F12" s="7">
        <v>11173768.68</v>
      </c>
      <c r="G12" s="7">
        <v>14443185.640000001</v>
      </c>
      <c r="H12" s="7">
        <v>15991083.4</v>
      </c>
      <c r="I12" s="7">
        <v>16248711</v>
      </c>
      <c r="J12" s="7">
        <v>17860803.75</v>
      </c>
      <c r="K12" s="8">
        <v>18155850.41</v>
      </c>
      <c r="L12" s="8">
        <v>17161110</v>
      </c>
      <c r="M12" s="8">
        <v>17311284</v>
      </c>
      <c r="N12" s="8">
        <v>18117773</v>
      </c>
      <c r="O12" s="8">
        <v>18597894</v>
      </c>
      <c r="P12" s="8">
        <v>19062841</v>
      </c>
      <c r="Q12" s="8">
        <v>19529881</v>
      </c>
      <c r="R12" s="8">
        <v>19979068</v>
      </c>
    </row>
    <row r="13" spans="1:18" ht="30" customHeight="1" x14ac:dyDescent="0.3">
      <c r="A13" s="5" t="s">
        <v>32</v>
      </c>
      <c r="B13" s="6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</row>
    <row r="14" spans="1:18" ht="30" customHeight="1" x14ac:dyDescent="0.3">
      <c r="A14" s="5" t="s">
        <v>34</v>
      </c>
      <c r="B14" s="6" t="s">
        <v>35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</row>
    <row r="15" spans="1:18" ht="30" customHeight="1" x14ac:dyDescent="0.3">
      <c r="A15" s="1" t="s">
        <v>36</v>
      </c>
      <c r="B15" s="2" t="s">
        <v>37</v>
      </c>
      <c r="C15" s="3">
        <f>IF(ISNUMBER(VLOOKUP("1.2.1",A6:R108,3,FALSE)),ROUND(VLOOKUP("1.2.1",A6:R108,3,FALSE),4),0) + IF(ISNUMBER(VLOOKUP("1.2.2",A6:R108,3,FALSE)),ROUND(VLOOKUP("1.2.2",A6:R108,3,FALSE),4),0) + IF(ISNUMBER(VLOOKUP("1.2.x",A6:R108,3,FALSE)),ROUND(VLOOKUP("1.2.x",A6:R108,3,FALSE),4),0)</f>
        <v>7059215.7199999997</v>
      </c>
      <c r="D15" s="3">
        <f>IF(ISNUMBER(VLOOKUP("1.2.1",A6:R108,4,FALSE)),ROUND(VLOOKUP("1.2.1",A6:R108,4,FALSE),4),0) + IF(ISNUMBER(VLOOKUP("1.2.2",A6:R108,4,FALSE)),ROUND(VLOOKUP("1.2.2",A6:R108,4,FALSE),4),0) + IF(ISNUMBER(VLOOKUP("1.2.x",A6:R108,4,FALSE)),ROUND(VLOOKUP("1.2.x",A6:R108,4,FALSE),4),0)</f>
        <v>1623156.73</v>
      </c>
      <c r="E15" s="3">
        <f>IF(ISNUMBER(VLOOKUP("1.2.1",A6:R108,5,FALSE)),ROUND(VLOOKUP("1.2.1",A6:R108,5,FALSE),4),0) + IF(ISNUMBER(VLOOKUP("1.2.2",A6:R108,5,FALSE)),ROUND(VLOOKUP("1.2.2",A6:R108,5,FALSE),4),0) + IF(ISNUMBER(VLOOKUP("1.2.x",A6:R108,5,FALSE)),ROUND(VLOOKUP("1.2.x",A6:R108,5,FALSE),4),0)</f>
        <v>7166005.75</v>
      </c>
      <c r="F15" s="3">
        <f>IF(ISNUMBER(VLOOKUP("1.2.1",A6:R108,6,FALSE)),ROUND(VLOOKUP("1.2.1",A6:R108,6,FALSE),4),0) + IF(ISNUMBER(VLOOKUP("1.2.2",A6:R108,6,FALSE)),ROUND(VLOOKUP("1.2.2",A6:R108,6,FALSE),4),0) + IF(ISNUMBER(VLOOKUP("1.2.x",A6:R108,6,FALSE)),ROUND(VLOOKUP("1.2.x",A6:R108,6,FALSE),4),0)</f>
        <v>3698888.86</v>
      </c>
      <c r="G15" s="3">
        <f>IF(ISNUMBER(VLOOKUP("1.2.1",A6:R108,7,FALSE)),ROUND(VLOOKUP("1.2.1",A6:R108,7,FALSE),4),0) + IF(ISNUMBER(VLOOKUP("1.2.2",A6:R108,7,FALSE)),ROUND(VLOOKUP("1.2.2",A6:R108,7,FALSE),4),0) + IF(ISNUMBER(VLOOKUP("1.2.x",A6:R108,7,FALSE)),ROUND(VLOOKUP("1.2.x",A6:R108,7,FALSE),4),0)</f>
        <v>18227366.809999999</v>
      </c>
      <c r="H15" s="3">
        <f>IF(ISNUMBER(VLOOKUP("1.2.1",A6:R108,8,FALSE)),ROUND(VLOOKUP("1.2.1",A6:R108,8,FALSE),4),0) + IF(ISNUMBER(VLOOKUP("1.2.2",A6:R108,8,FALSE)),ROUND(VLOOKUP("1.2.2",A6:R108,8,FALSE),4),0) + IF(ISNUMBER(VLOOKUP("1.2.x",A6:R108,8,FALSE)),ROUND(VLOOKUP("1.2.x",A6:R108,8,FALSE),4),0)</f>
        <v>6938932.6299999999</v>
      </c>
      <c r="I15" s="3">
        <f>IF(ISNUMBER(VLOOKUP("1.2.1",A6:R108,9,FALSE)),ROUND(VLOOKUP("1.2.1",A6:R108,9,FALSE),4),0) + IF(ISNUMBER(VLOOKUP("1.2.2",A6:R108,9,FALSE)),ROUND(VLOOKUP("1.2.2",A6:R108,9,FALSE),4),0) + IF(ISNUMBER(VLOOKUP("1.2.x",A6:R108,9,FALSE)),ROUND(VLOOKUP("1.2.x",A6:R108,9,FALSE),4),0)</f>
        <v>21414427</v>
      </c>
      <c r="J15" s="3">
        <f>IF(ISNUMBER(VLOOKUP("1.2.1",A6:R108,10,FALSE)),ROUND(VLOOKUP("1.2.1",A6:R108,10,FALSE),4),0) + IF(ISNUMBER(VLOOKUP("1.2.2",A6:R108,10,FALSE)),ROUND(VLOOKUP("1.2.2",A6:R108,10,FALSE),4),0) + IF(ISNUMBER(VLOOKUP("1.2.x",A6:R108,10,FALSE)),ROUND(VLOOKUP("1.2.x",A6:R108,10,FALSE),4),0)</f>
        <v>15048310.709999999</v>
      </c>
      <c r="K15" s="4">
        <f>IF(ISNUMBER(VLOOKUP("1.2.1",A6:R108,11,FALSE)),ROUND(VLOOKUP("1.2.1",A6:R108,11,FALSE),4),0) + IF(ISNUMBER(VLOOKUP("1.2.2",A6:R108,11,FALSE)),ROUND(VLOOKUP("1.2.2",A6:R108,11,FALSE),4),0) + IF(ISNUMBER(VLOOKUP("1.2.x",A6:R108,11,FALSE)),ROUND(VLOOKUP("1.2.x",A6:R108,11,FALSE),4),0)</f>
        <v>19605966</v>
      </c>
      <c r="L15" s="4">
        <f>IF(ISNUMBER(VLOOKUP("1.2.1",A6:R108,12,FALSE)),ROUND(VLOOKUP("1.2.1",A6:R108,12,FALSE),4),0) + IF(ISNUMBER(VLOOKUP("1.2.2",A6:R108,12,FALSE)),ROUND(VLOOKUP("1.2.2",A6:R108,12,FALSE),4),0) + IF(ISNUMBER(VLOOKUP("1.2.x",A6:R108,12,FALSE)),ROUND(VLOOKUP("1.2.x",A6:R108,12,FALSE),4),0)</f>
        <v>7835895</v>
      </c>
      <c r="M15" s="4">
        <f>IF(ISNUMBER(VLOOKUP("1.2.1",A6:R108,13,FALSE)),ROUND(VLOOKUP("1.2.1",A6:R108,13,FALSE),4),0) + IF(ISNUMBER(VLOOKUP("1.2.2",A6:R108,13,FALSE)),ROUND(VLOOKUP("1.2.2",A6:R108,13,FALSE),4),0) + IF(ISNUMBER(VLOOKUP("1.2.x",A6:R108,13,FALSE)),ROUND(VLOOKUP("1.2.x",A6:R108,13,FALSE),4),0)</f>
        <v>3852075</v>
      </c>
      <c r="N15" s="4">
        <f>IF(ISNUMBER(VLOOKUP("1.2.1",A6:R108,14,FALSE)),ROUND(VLOOKUP("1.2.1",A6:R108,14,FALSE),4),0) + IF(ISNUMBER(VLOOKUP("1.2.2",A6:R108,14,FALSE)),ROUND(VLOOKUP("1.2.2",A6:R108,14,FALSE),4),0) + IF(ISNUMBER(VLOOKUP("1.2.x",A6:R108,14,FALSE)),ROUND(VLOOKUP("1.2.x",A6:R108,14,FALSE),4),0)</f>
        <v>118000</v>
      </c>
      <c r="O15" s="4">
        <f>IF(ISNUMBER(VLOOKUP("1.2.1",A6:R108,15,FALSE)),ROUND(VLOOKUP("1.2.1",A6:R108,15,FALSE),4),0) + IF(ISNUMBER(VLOOKUP("1.2.2",A6:R108,15,FALSE)),ROUND(VLOOKUP("1.2.2",A6:R108,15,FALSE),4),0) + IF(ISNUMBER(VLOOKUP("1.2.x",A6:R108,15,FALSE)),ROUND(VLOOKUP("1.2.x",A6:R108,15,FALSE),4),0)</f>
        <v>55000</v>
      </c>
      <c r="P15" s="4">
        <f>IF(ISNUMBER(VLOOKUP("1.2.1",A6:R108,16,FALSE)),ROUND(VLOOKUP("1.2.1",A6:R108,16,FALSE),4),0) + IF(ISNUMBER(VLOOKUP("1.2.2",A6:R108,16,FALSE)),ROUND(VLOOKUP("1.2.2",A6:R108,16,FALSE),4),0) + IF(ISNUMBER(VLOOKUP("1.2.x",A6:R108,16,FALSE)),ROUND(VLOOKUP("1.2.x",A6:R108,16,FALSE),4),0)</f>
        <v>0</v>
      </c>
      <c r="Q15" s="4">
        <f>IF(ISNUMBER(VLOOKUP("1.2.1",A6:R108,17,FALSE)),ROUND(VLOOKUP("1.2.1",A6:R108,17,FALSE),4),0) + IF(ISNUMBER(VLOOKUP("1.2.2",A6:R108,17,FALSE)),ROUND(VLOOKUP("1.2.2",A6:R108,17,FALSE),4),0) + IF(ISNUMBER(VLOOKUP("1.2.x",A6:R108,17,FALSE)),ROUND(VLOOKUP("1.2.x",A6:R108,17,FALSE),4),0)</f>
        <v>0</v>
      </c>
      <c r="R15" s="4">
        <f>IF(ISNUMBER(VLOOKUP("1.2.1",A6:R108,18,FALSE)),ROUND(VLOOKUP("1.2.1",A6:R108,18,FALSE),4),0) + IF(ISNUMBER(VLOOKUP("1.2.2",A6:R108,18,FALSE)),ROUND(VLOOKUP("1.2.2",A6:R108,18,FALSE),4),0) + IF(ISNUMBER(VLOOKUP("1.2.x",A6:R108,18,FALSE)),ROUND(VLOOKUP("1.2.x",A6:R108,18,FALSE),4),0)</f>
        <v>0</v>
      </c>
    </row>
    <row r="16" spans="1:18" ht="30" customHeight="1" x14ac:dyDescent="0.3">
      <c r="A16" s="5" t="s">
        <v>38</v>
      </c>
      <c r="B16" s="6" t="s">
        <v>39</v>
      </c>
      <c r="C16" s="7">
        <v>27378.06</v>
      </c>
      <c r="D16" s="7">
        <v>135030.9</v>
      </c>
      <c r="E16" s="7">
        <v>222792.2</v>
      </c>
      <c r="F16" s="7">
        <v>121550</v>
      </c>
      <c r="G16" s="7">
        <v>88881.66</v>
      </c>
      <c r="H16" s="7">
        <v>250970.91</v>
      </c>
      <c r="I16" s="7">
        <v>292417</v>
      </c>
      <c r="J16" s="7">
        <v>264072.43</v>
      </c>
      <c r="K16" s="8">
        <v>292417</v>
      </c>
      <c r="L16" s="8">
        <v>292417</v>
      </c>
      <c r="M16" s="8">
        <v>263348</v>
      </c>
      <c r="N16" s="8">
        <v>118000</v>
      </c>
      <c r="O16" s="8">
        <v>55000</v>
      </c>
      <c r="P16" s="8">
        <v>0</v>
      </c>
      <c r="Q16" s="8">
        <v>0</v>
      </c>
      <c r="R16" s="8">
        <v>0</v>
      </c>
    </row>
    <row r="17" spans="1:18" ht="30" customHeight="1" x14ac:dyDescent="0.3">
      <c r="A17" s="5" t="s">
        <v>40</v>
      </c>
      <c r="B17" s="6" t="s">
        <v>41</v>
      </c>
      <c r="C17" s="7">
        <v>7031837.6600000001</v>
      </c>
      <c r="D17" s="7">
        <v>1488125.83</v>
      </c>
      <c r="E17" s="7">
        <v>6943213.5499999998</v>
      </c>
      <c r="F17" s="7">
        <v>3577338.86</v>
      </c>
      <c r="G17" s="7">
        <v>18138485.149999999</v>
      </c>
      <c r="H17" s="7">
        <v>6687961.7199999997</v>
      </c>
      <c r="I17" s="7">
        <v>21122010</v>
      </c>
      <c r="J17" s="7">
        <v>14784238.279999999</v>
      </c>
      <c r="K17" s="8">
        <v>19313549</v>
      </c>
      <c r="L17" s="8">
        <v>7543478</v>
      </c>
      <c r="M17" s="8">
        <v>3588727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</row>
    <row r="18" spans="1:18" ht="30" customHeight="1" x14ac:dyDescent="0.3">
      <c r="A18" s="5" t="s">
        <v>42</v>
      </c>
      <c r="B18" s="6" t="s">
        <v>35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</row>
    <row r="19" spans="1:18" ht="30" customHeight="1" x14ac:dyDescent="0.3">
      <c r="A19" s="1" t="s">
        <v>43</v>
      </c>
      <c r="B19" s="2" t="s">
        <v>44</v>
      </c>
      <c r="C19" s="3">
        <f>IF(ISNUMBER(VLOOKUP("2.1",A6:R108,3,FALSE)),ROUND(VLOOKUP("2.1",A6:R108,3,FALSE),4),0) + IF(ISNUMBER(VLOOKUP("2.2",A6:R108,3,FALSE)),ROUND(VLOOKUP("2.2",A6:R108,3,FALSE),4),0)</f>
        <v>74261267.25</v>
      </c>
      <c r="D19" s="3">
        <f>IF(ISNUMBER(VLOOKUP("2.1",A6:R108,4,FALSE)),ROUND(VLOOKUP("2.1",A6:R108,4,FALSE),4),0) + IF(ISNUMBER(VLOOKUP("2.2",A6:R108,4,FALSE)),ROUND(VLOOKUP("2.2",A6:R108,4,FALSE),4),0)</f>
        <v>71460309.189999998</v>
      </c>
      <c r="E19" s="3">
        <f>IF(ISNUMBER(VLOOKUP("2.1",A6:R108,5,FALSE)),ROUND(VLOOKUP("2.1",A6:R108,5,FALSE),4),0) + IF(ISNUMBER(VLOOKUP("2.2",A6:R108,5,FALSE)),ROUND(VLOOKUP("2.2",A6:R108,5,FALSE),4),0)</f>
        <v>78442805.5</v>
      </c>
      <c r="F19" s="3">
        <f>IF(ISNUMBER(VLOOKUP("2.1",A6:R108,6,FALSE)),ROUND(VLOOKUP("2.1",A6:R108,6,FALSE),4),0) + IF(ISNUMBER(VLOOKUP("2.2",A6:R108,6,FALSE)),ROUND(VLOOKUP("2.2",A6:R108,6,FALSE),4),0)</f>
        <v>84356614.010000005</v>
      </c>
      <c r="G19" s="3">
        <f>IF(ISNUMBER(VLOOKUP("2.1",A6:R108,7,FALSE)),ROUND(VLOOKUP("2.1",A6:R108,7,FALSE),4),0) + IF(ISNUMBER(VLOOKUP("2.2",A6:R108,7,FALSE)),ROUND(VLOOKUP("2.2",A6:R108,7,FALSE),4),0)</f>
        <v>108755436.34999999</v>
      </c>
      <c r="H19" s="3">
        <f>IF(ISNUMBER(VLOOKUP("2.1",A6:R108,8,FALSE)),ROUND(VLOOKUP("2.1",A6:R108,8,FALSE),4),0) + IF(ISNUMBER(VLOOKUP("2.2",A6:R108,8,FALSE)),ROUND(VLOOKUP("2.2",A6:R108,8,FALSE),4),0)</f>
        <v>108672711.05000001</v>
      </c>
      <c r="I19" s="3">
        <f>IF(ISNUMBER(VLOOKUP("2.1",A6:R108,9,FALSE)),ROUND(VLOOKUP("2.1",A6:R108,9,FALSE),4),0) + IF(ISNUMBER(VLOOKUP("2.2",A6:R108,9,FALSE)),ROUND(VLOOKUP("2.2",A6:R108,9,FALSE),4),0)</f>
        <v>145196944</v>
      </c>
      <c r="J19" s="3">
        <f>IF(ISNUMBER(VLOOKUP("2.1",A6:R108,10,FALSE)),ROUND(VLOOKUP("2.1",A6:R108,10,FALSE),4),0) + IF(ISNUMBER(VLOOKUP("2.2",A6:R108,10,FALSE)),ROUND(VLOOKUP("2.2",A6:R108,10,FALSE),4),0)</f>
        <v>138322564.72</v>
      </c>
      <c r="K19" s="4">
        <f>IF(ISNUMBER(VLOOKUP("2.1",A6:R108,11,FALSE)),ROUND(VLOOKUP("2.1",A6:R108,11,FALSE),4),0) + IF(ISNUMBER(VLOOKUP("2.2",A6:R108,11,FALSE)),ROUND(VLOOKUP("2.2",A6:R108,11,FALSE),4),0)</f>
        <v>153328046.26999998</v>
      </c>
      <c r="L19" s="4">
        <f>IF(ISNUMBER(VLOOKUP("2.1",A6:R108,12,FALSE)),ROUND(VLOOKUP("2.1",A6:R108,12,FALSE),4),0) + IF(ISNUMBER(VLOOKUP("2.2",A6:R108,12,FALSE)),ROUND(VLOOKUP("2.2",A6:R108,12,FALSE),4),0)</f>
        <v>137394896</v>
      </c>
      <c r="M19" s="4">
        <f>IF(ISNUMBER(VLOOKUP("2.1",A6:R108,13,FALSE)),ROUND(VLOOKUP("2.1",A6:R108,13,FALSE),4),0) + IF(ISNUMBER(VLOOKUP("2.2",A6:R108,13,FALSE)),ROUND(VLOOKUP("2.2",A6:R108,13,FALSE),4),0)</f>
        <v>136689087</v>
      </c>
      <c r="N19" s="4">
        <f>IF(ISNUMBER(VLOOKUP("2.1",A6:R108,14,FALSE)),ROUND(VLOOKUP("2.1",A6:R108,14,FALSE),4),0) + IF(ISNUMBER(VLOOKUP("2.2",A6:R108,14,FALSE)),ROUND(VLOOKUP("2.2",A6:R108,14,FALSE),4),0)</f>
        <v>136949231</v>
      </c>
      <c r="O19" s="4">
        <f>IF(ISNUMBER(VLOOKUP("2.1",A6:R108,15,FALSE)),ROUND(VLOOKUP("2.1",A6:R108,15,FALSE),4),0) + IF(ISNUMBER(VLOOKUP("2.2",A6:R108,15,FALSE)),ROUND(VLOOKUP("2.2",A6:R108,15,FALSE),4),0)</f>
        <v>140498547</v>
      </c>
      <c r="P19" s="4">
        <f>IF(ISNUMBER(VLOOKUP("2.1",A6:R108,16,FALSE)),ROUND(VLOOKUP("2.1",A6:R108,16,FALSE),4),0) + IF(ISNUMBER(VLOOKUP("2.2",A6:R108,16,FALSE)),ROUND(VLOOKUP("2.2",A6:R108,16,FALSE),4),0)</f>
        <v>143940195</v>
      </c>
      <c r="Q19" s="4">
        <f>IF(ISNUMBER(VLOOKUP("2.1",A6:R108,17,FALSE)),ROUND(VLOOKUP("2.1",A6:R108,17,FALSE),4),0) + IF(ISNUMBER(VLOOKUP("2.2",A6:R108,17,FALSE)),ROUND(VLOOKUP("2.2",A6:R108,17,FALSE),4),0)</f>
        <v>147625418</v>
      </c>
      <c r="R19" s="4">
        <f>IF(ISNUMBER(VLOOKUP("2.1",A6:R108,18,FALSE)),ROUND(VLOOKUP("2.1",A6:R108,18,FALSE),4),0) + IF(ISNUMBER(VLOOKUP("2.2",A6:R108,18,FALSE)),ROUND(VLOOKUP("2.2",A6:R108,18,FALSE),4),0)</f>
        <v>151049552</v>
      </c>
    </row>
    <row r="20" spans="1:18" ht="30" customHeight="1" x14ac:dyDescent="0.3">
      <c r="A20" s="1" t="s">
        <v>45</v>
      </c>
      <c r="B20" s="2" t="s">
        <v>46</v>
      </c>
      <c r="C20" s="3">
        <f>IF(ISNUMBER(VLOOKUP("2.1.1",A6:R108,3,FALSE)),ROUND(VLOOKUP("2.1.1",A6:R108,3,FALSE),4),0) + IF(ISNUMBER(VLOOKUP("2.1.2",A6:R108,3,FALSE)),ROUND(VLOOKUP("2.1.2",A6:R108,3,FALSE),4),0) + IF(ISNUMBER(VLOOKUP("2.1.3",A6:R108,3,FALSE)),ROUND(VLOOKUP("2.1.3",A6:R108,3,FALSE),4),0) + IF(ISNUMBER(VLOOKUP("2.1.x",A6:R108,3,FALSE)),ROUND(VLOOKUP("2.1.x",A6:R108,3,FALSE),4),0)</f>
        <v>62011225.280000001</v>
      </c>
      <c r="D20" s="3">
        <f>IF(ISNUMBER(VLOOKUP("2.1.1",A6:R108,4,FALSE)),ROUND(VLOOKUP("2.1.1",A6:R108,4,FALSE),4),0) + IF(ISNUMBER(VLOOKUP("2.1.2",A6:R108,4,FALSE)),ROUND(VLOOKUP("2.1.2",A6:R108,4,FALSE),4),0) + IF(ISNUMBER(VLOOKUP("2.1.3",A6:R108,4,FALSE)),ROUND(VLOOKUP("2.1.3",A6:R108,4,FALSE),4),0) + IF(ISNUMBER(VLOOKUP("2.1.x",A6:R108,4,FALSE)),ROUND(VLOOKUP("2.1.x",A6:R108,4,FALSE),4),0)</f>
        <v>65877258.910000004</v>
      </c>
      <c r="E20" s="3">
        <f>IF(ISNUMBER(VLOOKUP("2.1.1",A6:R108,5,FALSE)),ROUND(VLOOKUP("2.1.1",A6:R108,5,FALSE),4),0) + IF(ISNUMBER(VLOOKUP("2.1.2",A6:R108,5,FALSE)),ROUND(VLOOKUP("2.1.2",A6:R108,5,FALSE),4),0) + IF(ISNUMBER(VLOOKUP("2.1.3",A6:R108,5,FALSE)),ROUND(VLOOKUP("2.1.3",A6:R108,5,FALSE),4),0) + IF(ISNUMBER(VLOOKUP("2.1.x",A6:R108,5,FALSE)),ROUND(VLOOKUP("2.1.x",A6:R108,5,FALSE),4),0)</f>
        <v>71703717.849999994</v>
      </c>
      <c r="F20" s="3">
        <f>IF(ISNUMBER(VLOOKUP("2.1.1",A6:R108,6,FALSE)),ROUND(VLOOKUP("2.1.1",A6:R108,6,FALSE),4),0) + IF(ISNUMBER(VLOOKUP("2.1.2",A6:R108,6,FALSE)),ROUND(VLOOKUP("2.1.2",A6:R108,6,FALSE),4),0) + IF(ISNUMBER(VLOOKUP("2.1.3",A6:R108,6,FALSE)),ROUND(VLOOKUP("2.1.3",A6:R108,6,FALSE),4),0) + IF(ISNUMBER(VLOOKUP("2.1.x",A6:R108,6,FALSE)),ROUND(VLOOKUP("2.1.x",A6:R108,6,FALSE),4),0)</f>
        <v>77245199.679999992</v>
      </c>
      <c r="G20" s="3">
        <f>IF(ISNUMBER(VLOOKUP("2.1.1",A6:R108,7,FALSE)),ROUND(VLOOKUP("2.1.1",A6:R108,7,FALSE),4),0) + IF(ISNUMBER(VLOOKUP("2.1.2",A6:R108,7,FALSE)),ROUND(VLOOKUP("2.1.2",A6:R108,7,FALSE),4),0) + IF(ISNUMBER(VLOOKUP("2.1.3",A6:R108,7,FALSE)),ROUND(VLOOKUP("2.1.3",A6:R108,7,FALSE),4),0) + IF(ISNUMBER(VLOOKUP("2.1.x",A6:R108,7,FALSE)),ROUND(VLOOKUP("2.1.x",A6:R108,7,FALSE),4),0)</f>
        <v>85365571.350000009</v>
      </c>
      <c r="H20" s="3">
        <f>IF(ISNUMBER(VLOOKUP("2.1.1",A6:R108,8,FALSE)),ROUND(VLOOKUP("2.1.1",A6:R108,8,FALSE),4),0) + IF(ISNUMBER(VLOOKUP("2.1.2",A6:R108,8,FALSE)),ROUND(VLOOKUP("2.1.2",A6:R108,8,FALSE),4),0) + IF(ISNUMBER(VLOOKUP("2.1.3",A6:R108,8,FALSE)),ROUND(VLOOKUP("2.1.3",A6:R108,8,FALSE),4),0) + IF(ISNUMBER(VLOOKUP("2.1.x",A6:R108,8,FALSE)),ROUND(VLOOKUP("2.1.x",A6:R108,8,FALSE),4),0)</f>
        <v>92877104.120000005</v>
      </c>
      <c r="I20" s="3">
        <f>IF(ISNUMBER(VLOOKUP("2.1.1",A6:R108,9,FALSE)),ROUND(VLOOKUP("2.1.1",A6:R108,9,FALSE),4),0) + IF(ISNUMBER(VLOOKUP("2.1.2",A6:R108,9,FALSE)),ROUND(VLOOKUP("2.1.2",A6:R108,9,FALSE),4),0) + IF(ISNUMBER(VLOOKUP("2.1.3",A6:R108,9,FALSE)),ROUND(VLOOKUP("2.1.3",A6:R108,9,FALSE),4),0) + IF(ISNUMBER(VLOOKUP("2.1.x",A6:R108,9,FALSE)),ROUND(VLOOKUP("2.1.x",A6:R108,9,FALSE),4),0)</f>
        <v>113541161</v>
      </c>
      <c r="J20" s="3">
        <f>IF(ISNUMBER(VLOOKUP("2.1.1",A6:R108,10,FALSE)),ROUND(VLOOKUP("2.1.1",A6:R108,10,FALSE),4),0) + IF(ISNUMBER(VLOOKUP("2.1.2",A6:R108,10,FALSE)),ROUND(VLOOKUP("2.1.2",A6:R108,10,FALSE),4),0) + IF(ISNUMBER(VLOOKUP("2.1.3",A6:R108,10,FALSE)),ROUND(VLOOKUP("2.1.3",A6:R108,10,FALSE),4),0) + IF(ISNUMBER(VLOOKUP("2.1.x",A6:R108,10,FALSE)),ROUND(VLOOKUP("2.1.x",A6:R108,10,FALSE),4),0)</f>
        <v>113609301.66</v>
      </c>
      <c r="K20" s="4">
        <f>IF(ISNUMBER(VLOOKUP("2.1.1",A6:R108,11,FALSE)),ROUND(VLOOKUP("2.1.1",A6:R108,11,FALSE),4),0) + IF(ISNUMBER(VLOOKUP("2.1.2",A6:R108,11,FALSE)),ROUND(VLOOKUP("2.1.2",A6:R108,11,FALSE),4),0) + IF(ISNUMBER(VLOOKUP("2.1.3",A6:R108,11,FALSE)),ROUND(VLOOKUP("2.1.3",A6:R108,11,FALSE),4),0) + IF(ISNUMBER(VLOOKUP("2.1.x",A6:R108,11,FALSE)),ROUND(VLOOKUP("2.1.x",A6:R108,11,FALSE),4),0)</f>
        <v>127633315.27</v>
      </c>
      <c r="L20" s="4">
        <f>IF(ISNUMBER(VLOOKUP("2.1.1",A6:R108,12,FALSE)),ROUND(VLOOKUP("2.1.1",A6:R108,12,FALSE),4),0) + IF(ISNUMBER(VLOOKUP("2.1.2",A6:R108,12,FALSE)),ROUND(VLOOKUP("2.1.2",A6:R108,12,FALSE),4),0) + IF(ISNUMBER(VLOOKUP("2.1.3",A6:R108,12,FALSE)),ROUND(VLOOKUP("2.1.3",A6:R108,12,FALSE),4),0) + IF(ISNUMBER(VLOOKUP("2.1.x",A6:R108,12,FALSE)),ROUND(VLOOKUP("2.1.x",A6:R108,12,FALSE),4),0)</f>
        <v>123673660</v>
      </c>
      <c r="M20" s="4">
        <f>IF(ISNUMBER(VLOOKUP("2.1.1",A6:R108,13,FALSE)),ROUND(VLOOKUP("2.1.1",A6:R108,13,FALSE),4),0) + IF(ISNUMBER(VLOOKUP("2.1.2",A6:R108,13,FALSE)),ROUND(VLOOKUP("2.1.2",A6:R108,13,FALSE),4),0) + IF(ISNUMBER(VLOOKUP("2.1.3",A6:R108,13,FALSE)),ROUND(VLOOKUP("2.1.3",A6:R108,13,FALSE),4),0) + IF(ISNUMBER(VLOOKUP("2.1.x",A6:R108,13,FALSE)),ROUND(VLOOKUP("2.1.x",A6:R108,13,FALSE),4),0)</f>
        <v>126303731</v>
      </c>
      <c r="N20" s="4">
        <f>IF(ISNUMBER(VLOOKUP("2.1.1",A6:R108,14,FALSE)),ROUND(VLOOKUP("2.1.1",A6:R108,14,FALSE),4),0) + IF(ISNUMBER(VLOOKUP("2.1.2",A6:R108,14,FALSE)),ROUND(VLOOKUP("2.1.2",A6:R108,14,FALSE),4),0) + IF(ISNUMBER(VLOOKUP("2.1.3",A6:R108,14,FALSE)),ROUND(VLOOKUP("2.1.3",A6:R108,14,FALSE),4),0) + IF(ISNUMBER(VLOOKUP("2.1.x",A6:R108,14,FALSE)),ROUND(VLOOKUP("2.1.x",A6:R108,14,FALSE),4),0)</f>
        <v>129491732</v>
      </c>
      <c r="O20" s="4">
        <f>IF(ISNUMBER(VLOOKUP("2.1.1",A6:R108,15,FALSE)),ROUND(VLOOKUP("2.1.1",A6:R108,15,FALSE),4),0) + IF(ISNUMBER(VLOOKUP("2.1.2",A6:R108,15,FALSE)),ROUND(VLOOKUP("2.1.2",A6:R108,15,FALSE),4),0) + IF(ISNUMBER(VLOOKUP("2.1.3",A6:R108,15,FALSE)),ROUND(VLOOKUP("2.1.3",A6:R108,15,FALSE),4),0) + IF(ISNUMBER(VLOOKUP("2.1.x",A6:R108,15,FALSE)),ROUND(VLOOKUP("2.1.x",A6:R108,15,FALSE),4),0)</f>
        <v>132749069</v>
      </c>
      <c r="P20" s="4">
        <f>IF(ISNUMBER(VLOOKUP("2.1.1",A6:R108,16,FALSE)),ROUND(VLOOKUP("2.1.1",A6:R108,16,FALSE),4),0) + IF(ISNUMBER(VLOOKUP("2.1.2",A6:R108,16,FALSE)),ROUND(VLOOKUP("2.1.2",A6:R108,16,FALSE),4),0) + IF(ISNUMBER(VLOOKUP("2.1.3",A6:R108,16,FALSE)),ROUND(VLOOKUP("2.1.3",A6:R108,16,FALSE),4),0) + IF(ISNUMBER(VLOOKUP("2.1.x",A6:R108,16,FALSE)),ROUND(VLOOKUP("2.1.x",A6:R108,16,FALSE),4),0)</f>
        <v>135898480</v>
      </c>
      <c r="Q20" s="4">
        <f>IF(ISNUMBER(VLOOKUP("2.1.1",A6:R108,17,FALSE)),ROUND(VLOOKUP("2.1.1",A6:R108,17,FALSE),4),0) + IF(ISNUMBER(VLOOKUP("2.1.2",A6:R108,17,FALSE)),ROUND(VLOOKUP("2.1.2",A6:R108,17,FALSE),4),0) + IF(ISNUMBER(VLOOKUP("2.1.3",A6:R108,17,FALSE)),ROUND(VLOOKUP("2.1.3",A6:R108,17,FALSE),4),0) + IF(ISNUMBER(VLOOKUP("2.1.x",A6:R108,17,FALSE)),ROUND(VLOOKUP("2.1.x",A6:R108,17,FALSE),4),0)</f>
        <v>139110398</v>
      </c>
      <c r="R20" s="4">
        <f>IF(ISNUMBER(VLOOKUP("2.1.1",A6:R108,18,FALSE)),ROUND(VLOOKUP("2.1.1",A6:R108,18,FALSE),4),0) + IF(ISNUMBER(VLOOKUP("2.1.2",A6:R108,18,FALSE)),ROUND(VLOOKUP("2.1.2",A6:R108,18,FALSE),4),0) + IF(ISNUMBER(VLOOKUP("2.1.3",A6:R108,18,FALSE)),ROUND(VLOOKUP("2.1.3",A6:R108,18,FALSE),4),0) + IF(ISNUMBER(VLOOKUP("2.1.x",A6:R108,18,FALSE)),ROUND(VLOOKUP("2.1.x",A6:R108,18,FALSE),4),0)</f>
        <v>142205337</v>
      </c>
    </row>
    <row r="21" spans="1:18" ht="30" customHeight="1" x14ac:dyDescent="0.3">
      <c r="A21" s="5" t="s">
        <v>47</v>
      </c>
      <c r="B21" s="6" t="s">
        <v>48</v>
      </c>
      <c r="C21" s="7">
        <v>38363526.890000001</v>
      </c>
      <c r="D21" s="7">
        <v>41876718.600000001</v>
      </c>
      <c r="E21" s="7">
        <v>46107373.159999996</v>
      </c>
      <c r="F21" s="7">
        <v>49748776.869999997</v>
      </c>
      <c r="G21" s="7">
        <v>53151218.770000003</v>
      </c>
      <c r="H21" s="7">
        <v>59740482.469999999</v>
      </c>
      <c r="I21" s="7">
        <v>74284385</v>
      </c>
      <c r="J21" s="7">
        <v>74587704.640000001</v>
      </c>
      <c r="K21" s="8">
        <v>80736426.989999995</v>
      </c>
      <c r="L21" s="8">
        <v>79068027</v>
      </c>
      <c r="M21" s="8">
        <v>81234043</v>
      </c>
      <c r="N21" s="8">
        <v>83386745</v>
      </c>
      <c r="O21" s="8">
        <v>85596494</v>
      </c>
      <c r="P21" s="8">
        <v>87736406</v>
      </c>
      <c r="Q21" s="8">
        <v>89885948</v>
      </c>
      <c r="R21" s="8">
        <v>91953325</v>
      </c>
    </row>
    <row r="22" spans="1:18" ht="30" customHeight="1" x14ac:dyDescent="0.3">
      <c r="A22" s="5" t="s">
        <v>49</v>
      </c>
      <c r="B22" s="6" t="s">
        <v>50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18" ht="30" customHeight="1" x14ac:dyDescent="0.3">
      <c r="A23" s="5" t="s">
        <v>51</v>
      </c>
      <c r="B23" s="6" t="s">
        <v>52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</row>
    <row r="24" spans="1:18" ht="30" customHeight="1" x14ac:dyDescent="0.3">
      <c r="A24" s="5" t="s">
        <v>53</v>
      </c>
      <c r="B24" s="6" t="s">
        <v>54</v>
      </c>
      <c r="C24" s="9">
        <v>210468.81</v>
      </c>
      <c r="D24" s="9">
        <v>231841.6</v>
      </c>
      <c r="E24" s="9">
        <v>117188.31</v>
      </c>
      <c r="F24" s="9">
        <v>72394.05</v>
      </c>
      <c r="G24" s="9">
        <v>291679.42</v>
      </c>
      <c r="H24" s="9">
        <v>489181.92</v>
      </c>
      <c r="I24" s="9">
        <v>774900</v>
      </c>
      <c r="J24" s="9">
        <v>619111.1</v>
      </c>
      <c r="K24" s="10">
        <v>898400</v>
      </c>
      <c r="L24" s="10">
        <v>773600</v>
      </c>
      <c r="M24" s="10">
        <v>648800</v>
      </c>
      <c r="N24" s="10">
        <v>530000</v>
      </c>
      <c r="O24" s="10">
        <v>420000</v>
      </c>
      <c r="P24" s="10">
        <v>310000</v>
      </c>
      <c r="Q24" s="10">
        <v>200000</v>
      </c>
      <c r="R24" s="10">
        <v>100000</v>
      </c>
    </row>
    <row r="25" spans="1:18" ht="30" customHeight="1" x14ac:dyDescent="0.3">
      <c r="A25" s="5" t="s">
        <v>55</v>
      </c>
      <c r="B25" s="6" t="s">
        <v>56</v>
      </c>
      <c r="C25" s="9">
        <v>210468.81</v>
      </c>
      <c r="D25" s="9">
        <v>231841.6</v>
      </c>
      <c r="E25" s="9">
        <v>117188.31</v>
      </c>
      <c r="F25" s="9">
        <v>72394.05</v>
      </c>
      <c r="G25" s="9">
        <v>291679.42</v>
      </c>
      <c r="H25" s="9">
        <v>489181.92</v>
      </c>
      <c r="I25" s="9">
        <v>774900</v>
      </c>
      <c r="J25" s="9">
        <v>619111.1</v>
      </c>
      <c r="K25" s="10">
        <v>898400</v>
      </c>
      <c r="L25" s="10">
        <v>773600</v>
      </c>
      <c r="M25" s="10">
        <v>648800</v>
      </c>
      <c r="N25" s="10">
        <v>530000</v>
      </c>
      <c r="O25" s="10">
        <v>420000</v>
      </c>
      <c r="P25" s="10">
        <v>310000</v>
      </c>
      <c r="Q25" s="10">
        <v>200000</v>
      </c>
      <c r="R25" s="10">
        <v>100000</v>
      </c>
    </row>
    <row r="26" spans="1:18" ht="46.5" customHeight="1" x14ac:dyDescent="0.3">
      <c r="A26" s="5" t="s">
        <v>57</v>
      </c>
      <c r="B26" s="6" t="s">
        <v>58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</row>
    <row r="27" spans="1:18" ht="30" customHeight="1" x14ac:dyDescent="0.3">
      <c r="A27" s="5" t="s">
        <v>59</v>
      </c>
      <c r="B27" s="6" t="s">
        <v>60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</row>
    <row r="28" spans="1:18" ht="30" customHeight="1" x14ac:dyDescent="0.3">
      <c r="A28" s="5" t="s">
        <v>61</v>
      </c>
      <c r="B28" s="6" t="s">
        <v>62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</row>
    <row r="29" spans="1:18" ht="30" customHeight="1" x14ac:dyDescent="0.3">
      <c r="A29" s="5" t="s">
        <v>63</v>
      </c>
      <c r="B29" s="6" t="s">
        <v>35</v>
      </c>
      <c r="C29" s="7">
        <v>23437229.579999998</v>
      </c>
      <c r="D29" s="7">
        <v>23768698.710000001</v>
      </c>
      <c r="E29" s="7">
        <v>25479156.379999999</v>
      </c>
      <c r="F29" s="7">
        <v>27424028.760000002</v>
      </c>
      <c r="G29" s="7">
        <v>31922673.16</v>
      </c>
      <c r="H29" s="7">
        <v>32647439.73</v>
      </c>
      <c r="I29" s="7">
        <v>38481876</v>
      </c>
      <c r="J29" s="7">
        <v>38402485.920000002</v>
      </c>
      <c r="K29" s="8">
        <v>45998488.280000001</v>
      </c>
      <c r="L29" s="8">
        <v>43832033</v>
      </c>
      <c r="M29" s="8">
        <v>44420888</v>
      </c>
      <c r="N29" s="8">
        <v>45574987</v>
      </c>
      <c r="O29" s="8">
        <v>46732575</v>
      </c>
      <c r="P29" s="8">
        <v>47852074</v>
      </c>
      <c r="Q29" s="8">
        <v>49024450</v>
      </c>
      <c r="R29" s="8">
        <v>50152012</v>
      </c>
    </row>
    <row r="30" spans="1:18" ht="30" customHeight="1" x14ac:dyDescent="0.3">
      <c r="A30" s="1" t="s">
        <v>64</v>
      </c>
      <c r="B30" s="2" t="s">
        <v>65</v>
      </c>
      <c r="C30" s="3">
        <f>IF(ISNUMBER(VLOOKUP("2.2.1",A6:R108,3,FALSE)),ROUND(VLOOKUP("2.2.1",A6:R108,3,FALSE),4),0) + IF(ISNUMBER(VLOOKUP("2.2.x",A6:R108,3,FALSE)),ROUND(VLOOKUP("2.2.x",A6:R108,3,FALSE),4),0)</f>
        <v>12250041.970000001</v>
      </c>
      <c r="D30" s="3">
        <f>IF(ISNUMBER(VLOOKUP("2.2.1",A6:R108,4,FALSE)),ROUND(VLOOKUP("2.2.1",A6:R108,4,FALSE),4),0) + IF(ISNUMBER(VLOOKUP("2.2.x",A6:R108,4,FALSE)),ROUND(VLOOKUP("2.2.x",A6:R108,4,FALSE),4),0)</f>
        <v>5583050.2800000003</v>
      </c>
      <c r="E30" s="3">
        <f>IF(ISNUMBER(VLOOKUP("2.2.1",A6:R108,5,FALSE)),ROUND(VLOOKUP("2.2.1",A6:R108,5,FALSE),4),0) + IF(ISNUMBER(VLOOKUP("2.2.x",A6:R108,5,FALSE)),ROUND(VLOOKUP("2.2.x",A6:R108,5,FALSE),4),0)</f>
        <v>6739087.6500000004</v>
      </c>
      <c r="F30" s="3">
        <f>IF(ISNUMBER(VLOOKUP("2.2.1",A6:R108,6,FALSE)),ROUND(VLOOKUP("2.2.1",A6:R108,6,FALSE),4),0) + IF(ISNUMBER(VLOOKUP("2.2.x",A6:R108,6,FALSE)),ROUND(VLOOKUP("2.2.x",A6:R108,6,FALSE),4),0)</f>
        <v>7111414.3300000001</v>
      </c>
      <c r="G30" s="3">
        <f>IF(ISNUMBER(VLOOKUP("2.2.1",A6:R108,7,FALSE)),ROUND(VLOOKUP("2.2.1",A6:R108,7,FALSE),4),0) + IF(ISNUMBER(VLOOKUP("2.2.x",A6:R108,7,FALSE)),ROUND(VLOOKUP("2.2.x",A6:R108,7,FALSE),4),0)</f>
        <v>23389865</v>
      </c>
      <c r="H30" s="3">
        <f>IF(ISNUMBER(VLOOKUP("2.2.1",A6:R108,8,FALSE)),ROUND(VLOOKUP("2.2.1",A6:R108,8,FALSE),4),0) + IF(ISNUMBER(VLOOKUP("2.2.x",A6:R108,8,FALSE)),ROUND(VLOOKUP("2.2.x",A6:R108,8,FALSE),4),0)</f>
        <v>15795606.93</v>
      </c>
      <c r="I30" s="3">
        <f>IF(ISNUMBER(VLOOKUP("2.2.1",A6:R108,9,FALSE)),ROUND(VLOOKUP("2.2.1",A6:R108,9,FALSE),4),0) + IF(ISNUMBER(VLOOKUP("2.2.x",A6:R108,9,FALSE)),ROUND(VLOOKUP("2.2.x",A6:R108,9,FALSE),4),0)</f>
        <v>31655783</v>
      </c>
      <c r="J30" s="3">
        <f>IF(ISNUMBER(VLOOKUP("2.2.1",A6:R108,10,FALSE)),ROUND(VLOOKUP("2.2.1",A6:R108,10,FALSE),4),0) + IF(ISNUMBER(VLOOKUP("2.2.x",A6:R108,10,FALSE)),ROUND(VLOOKUP("2.2.x",A6:R108,10,FALSE),4),0)</f>
        <v>24713263.059999999</v>
      </c>
      <c r="K30" s="4">
        <f>IF(ISNUMBER(VLOOKUP("2.2.1",A6:R108,11,FALSE)),ROUND(VLOOKUP("2.2.1",A6:R108,11,FALSE),4),0) + IF(ISNUMBER(VLOOKUP("2.2.x",A6:R108,11,FALSE)),ROUND(VLOOKUP("2.2.x",A6:R108,11,FALSE),4),0)</f>
        <v>25694731</v>
      </c>
      <c r="L30" s="4">
        <f>IF(ISNUMBER(VLOOKUP("2.2.1",A6:R108,12,FALSE)),ROUND(VLOOKUP("2.2.1",A6:R108,12,FALSE),4),0) + IF(ISNUMBER(VLOOKUP("2.2.x",A6:R108,12,FALSE)),ROUND(VLOOKUP("2.2.x",A6:R108,12,FALSE),4),0)</f>
        <v>13721236</v>
      </c>
      <c r="M30" s="4">
        <f>IF(ISNUMBER(VLOOKUP("2.2.1",A6:R108,13,FALSE)),ROUND(VLOOKUP("2.2.1",A6:R108,13,FALSE),4),0) + IF(ISNUMBER(VLOOKUP("2.2.x",A6:R108,13,FALSE)),ROUND(VLOOKUP("2.2.x",A6:R108,13,FALSE),4),0)</f>
        <v>10385356</v>
      </c>
      <c r="N30" s="4">
        <f>IF(ISNUMBER(VLOOKUP("2.2.1",A6:R108,14,FALSE)),ROUND(VLOOKUP("2.2.1",A6:R108,14,FALSE),4),0) + IF(ISNUMBER(VLOOKUP("2.2.x",A6:R108,14,FALSE)),ROUND(VLOOKUP("2.2.x",A6:R108,14,FALSE),4),0)</f>
        <v>7457499</v>
      </c>
      <c r="O30" s="4">
        <f>IF(ISNUMBER(VLOOKUP("2.2.1",A6:R108,15,FALSE)),ROUND(VLOOKUP("2.2.1",A6:R108,15,FALSE),4),0) + IF(ISNUMBER(VLOOKUP("2.2.x",A6:R108,15,FALSE)),ROUND(VLOOKUP("2.2.x",A6:R108,15,FALSE),4),0)</f>
        <v>7749478</v>
      </c>
      <c r="P30" s="4">
        <f>IF(ISNUMBER(VLOOKUP("2.2.1",A6:R108,16,FALSE)),ROUND(VLOOKUP("2.2.1",A6:R108,16,FALSE),4),0) + IF(ISNUMBER(VLOOKUP("2.2.x",A6:R108,16,FALSE)),ROUND(VLOOKUP("2.2.x",A6:R108,16,FALSE),4),0)</f>
        <v>8041715</v>
      </c>
      <c r="Q30" s="4">
        <f>IF(ISNUMBER(VLOOKUP("2.2.1",A6:R108,17,FALSE)),ROUND(VLOOKUP("2.2.1",A6:R108,17,FALSE),4),0) + IF(ISNUMBER(VLOOKUP("2.2.x",A6:R108,17,FALSE)),ROUND(VLOOKUP("2.2.x",A6:R108,17,FALSE),4),0)</f>
        <v>8515020</v>
      </c>
      <c r="R30" s="4">
        <f>IF(ISNUMBER(VLOOKUP("2.2.1",A6:R108,18,FALSE)),ROUND(VLOOKUP("2.2.1",A6:R108,18,FALSE),4),0) + IF(ISNUMBER(VLOOKUP("2.2.x",A6:R108,18,FALSE)),ROUND(VLOOKUP("2.2.x",A6:R108,18,FALSE),4),0)</f>
        <v>8844215</v>
      </c>
    </row>
    <row r="31" spans="1:18" ht="30" customHeight="1" x14ac:dyDescent="0.3">
      <c r="A31" s="5" t="s">
        <v>66</v>
      </c>
      <c r="B31" s="6" t="s">
        <v>67</v>
      </c>
      <c r="C31" s="7">
        <v>11902041.970000001</v>
      </c>
      <c r="D31" s="7">
        <v>5235050.28</v>
      </c>
      <c r="E31" s="7">
        <v>6739087.6500000004</v>
      </c>
      <c r="F31" s="7">
        <v>7111414.3300000001</v>
      </c>
      <c r="G31" s="7">
        <v>22389865</v>
      </c>
      <c r="H31" s="7">
        <v>15795606.93</v>
      </c>
      <c r="I31" s="7">
        <v>31655783</v>
      </c>
      <c r="J31" s="7">
        <v>24713263.059999999</v>
      </c>
      <c r="K31" s="8">
        <v>25694731</v>
      </c>
      <c r="L31" s="8">
        <v>13721236</v>
      </c>
      <c r="M31" s="8">
        <v>10385356</v>
      </c>
      <c r="N31" s="8">
        <v>7457499</v>
      </c>
      <c r="O31" s="8">
        <v>7749478</v>
      </c>
      <c r="P31" s="8">
        <v>8041715</v>
      </c>
      <c r="Q31" s="8">
        <v>8515020</v>
      </c>
      <c r="R31" s="8">
        <v>8844215</v>
      </c>
    </row>
    <row r="32" spans="1:18" ht="30" customHeight="1" x14ac:dyDescent="0.3">
      <c r="A32" s="5" t="s">
        <v>68</v>
      </c>
      <c r="B32" s="6" t="s">
        <v>69</v>
      </c>
      <c r="C32" s="7">
        <v>0</v>
      </c>
      <c r="D32" s="7">
        <v>0</v>
      </c>
      <c r="E32" s="7">
        <v>948402.3</v>
      </c>
      <c r="F32" s="7">
        <v>1703885.46</v>
      </c>
      <c r="G32" s="7">
        <v>258076.16</v>
      </c>
      <c r="H32" s="7">
        <v>28455.24</v>
      </c>
      <c r="I32" s="7">
        <v>1075709</v>
      </c>
      <c r="J32" s="7">
        <v>1061692.82</v>
      </c>
      <c r="K32" s="8">
        <v>2743720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</row>
    <row r="33" spans="1:18" ht="30" customHeight="1" x14ac:dyDescent="0.3">
      <c r="A33" s="5" t="s">
        <v>70</v>
      </c>
      <c r="B33" s="6" t="s">
        <v>35</v>
      </c>
      <c r="C33" s="7">
        <v>348000</v>
      </c>
      <c r="D33" s="7">
        <v>348000</v>
      </c>
      <c r="E33" s="7">
        <v>0</v>
      </c>
      <c r="F33" s="7">
        <v>0</v>
      </c>
      <c r="G33" s="7">
        <v>1000000</v>
      </c>
      <c r="H33" s="7">
        <v>0</v>
      </c>
      <c r="I33" s="7">
        <v>0</v>
      </c>
      <c r="J33" s="7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</row>
    <row r="34" spans="1:18" ht="30" customHeight="1" x14ac:dyDescent="0.3">
      <c r="A34" s="1" t="s">
        <v>71</v>
      </c>
      <c r="B34" s="2" t="s">
        <v>72</v>
      </c>
      <c r="C34" s="3">
        <f>IF(ISNUMBER(VLOOKUP("1",A6:R108,3,FALSE)),ROUND(VLOOKUP("1",A6:R108,3,FALSE),4),0) - IF(ISNUMBER(VLOOKUP("2",A6:R108,3,FALSE)),ROUND(VLOOKUP("2",A6:R108,3,FALSE),4),0)</f>
        <v>-1643725.8799999952</v>
      </c>
      <c r="D34" s="3">
        <f>IF(ISNUMBER(VLOOKUP("1",A6:R108,4,FALSE)),ROUND(VLOOKUP("1",A6:R108,4,FALSE),4),0) - IF(ISNUMBER(VLOOKUP("2",A6:R108,4,FALSE)),ROUND(VLOOKUP("2",A6:R108,4,FALSE),4),0)</f>
        <v>1935229.3500000089</v>
      </c>
      <c r="E34" s="3">
        <f>IF(ISNUMBER(VLOOKUP("1",A6:R108,5,FALSE)),ROUND(VLOOKUP("1",A6:R108,5,FALSE),4),0) - IF(ISNUMBER(VLOOKUP("2",A6:R108,5,FALSE)),ROUND(VLOOKUP("2",A6:R108,5,FALSE),4),0)</f>
        <v>7863917.7300000042</v>
      </c>
      <c r="F34" s="3">
        <f>IF(ISNUMBER(VLOOKUP("1",A6:R108,6,FALSE)),ROUND(VLOOKUP("1",A6:R108,6,FALSE),4),0) - IF(ISNUMBER(VLOOKUP("2",A6:R108,6,FALSE)),ROUND(VLOOKUP("2",A6:R108,6,FALSE),4),0)</f>
        <v>2688362.4200000018</v>
      </c>
      <c r="G34" s="3">
        <f>IF(ISNUMBER(VLOOKUP("1",A6:R108,7,FALSE)),ROUND(VLOOKUP("1",A6:R108,7,FALSE),4),0) - IF(ISNUMBER(VLOOKUP("2",A6:R108,7,FALSE)),ROUND(VLOOKUP("2",A6:R108,7,FALSE),4),0)</f>
        <v>2511915.1200000048</v>
      </c>
      <c r="H34" s="3">
        <f>IF(ISNUMBER(VLOOKUP("1",A6:R108,8,FALSE)),ROUND(VLOOKUP("1",A6:R108,8,FALSE),4),0) - IF(ISNUMBER(VLOOKUP("2",A6:R108,8,FALSE)),ROUND(VLOOKUP("2",A6:R108,8,FALSE),4),0)</f>
        <v>-6685146.700000003</v>
      </c>
      <c r="I34" s="3">
        <f>IF(ISNUMBER(VLOOKUP("1",A6:R108,9,FALSE)),ROUND(VLOOKUP("1",A6:R108,9,FALSE),4),0) - IF(ISNUMBER(VLOOKUP("2",A6:R108,9,FALSE)),ROUND(VLOOKUP("2",A6:R108,9,FALSE),4),0)</f>
        <v>-1577500</v>
      </c>
      <c r="J34" s="3">
        <f>IF(ISNUMBER(VLOOKUP("1",A6:R108,10,FALSE)),ROUND(VLOOKUP("1",A6:R108,10,FALSE),4),0) - IF(ISNUMBER(VLOOKUP("2",A6:R108,10,FALSE)),ROUND(VLOOKUP("2",A6:R108,10,FALSE),4),0)</f>
        <v>3790627.0300000012</v>
      </c>
      <c r="K34" s="4">
        <f>IF(ISNUMBER(VLOOKUP("1",A6:R108,11,FALSE)),ROUND(VLOOKUP("1",A6:R108,11,FALSE),4),0) - IF(ISNUMBER(VLOOKUP("2",A6:R108,11,FALSE)),ROUND(VLOOKUP("2",A6:R108,11,FALSE),4),0)</f>
        <v>283005</v>
      </c>
      <c r="L34" s="4">
        <f>IF(ISNUMBER(VLOOKUP("1",A6:R108,12,FALSE)),ROUND(VLOOKUP("1",A6:R108,12,FALSE),4),0) - IF(ISNUMBER(VLOOKUP("2",A6:R108,12,FALSE)),ROUND(VLOOKUP("2",A6:R108,12,FALSE),4),0)</f>
        <v>1560000</v>
      </c>
      <c r="M34" s="4">
        <f>IF(ISNUMBER(VLOOKUP("1",A6:R108,13,FALSE)),ROUND(VLOOKUP("1",A6:R108,13,FALSE),4),0) - IF(ISNUMBER(VLOOKUP("2",A6:R108,13,FALSE)),ROUND(VLOOKUP("2",A6:R108,13,FALSE),4),0)</f>
        <v>1485000</v>
      </c>
      <c r="N34" s="4">
        <f>IF(ISNUMBER(VLOOKUP("1",A6:R108,14,FALSE)),ROUND(VLOOKUP("1",A6:R108,14,FALSE),4),0) - IF(ISNUMBER(VLOOKUP("2",A6:R108,14,FALSE)),ROUND(VLOOKUP("2",A6:R108,14,FALSE),4),0)</f>
        <v>1375000</v>
      </c>
      <c r="O34" s="4">
        <f>IF(ISNUMBER(VLOOKUP("1",A6:R108,15,FALSE)),ROUND(VLOOKUP("1",A6:R108,15,FALSE),4),0) - IF(ISNUMBER(VLOOKUP("2",A6:R108,15,FALSE)),ROUND(VLOOKUP("2",A6:R108,15,FALSE),4),0)</f>
        <v>1375000</v>
      </c>
      <c r="P34" s="4">
        <f>IF(ISNUMBER(VLOOKUP("1",A6:R108,16,FALSE)),ROUND(VLOOKUP("1",A6:R108,16,FALSE),4),0) - IF(ISNUMBER(VLOOKUP("2",A6:R108,16,FALSE)),ROUND(VLOOKUP("2",A6:R108,16,FALSE),4),0)</f>
        <v>1375000</v>
      </c>
      <c r="Q34" s="4">
        <f>IF(ISNUMBER(VLOOKUP("1",A6:R108,17,FALSE)),ROUND(VLOOKUP("1",A6:R108,17,FALSE),4),0) - IF(ISNUMBER(VLOOKUP("2",A6:R108,17,FALSE)),ROUND(VLOOKUP("2",A6:R108,17,FALSE),4),0)</f>
        <v>1250000</v>
      </c>
      <c r="R34" s="4">
        <f>IF(ISNUMBER(VLOOKUP("1",A6:R108,18,FALSE)),ROUND(VLOOKUP("1",A6:R108,18,FALSE),4),0) - IF(ISNUMBER(VLOOKUP("2",A6:R108,18,FALSE)),ROUND(VLOOKUP("2",A6:R108,18,FALSE),4),0)</f>
        <v>1250000</v>
      </c>
    </row>
    <row r="35" spans="1:18" ht="30" customHeight="1" x14ac:dyDescent="0.3">
      <c r="A35" s="5" t="s">
        <v>73</v>
      </c>
      <c r="B35" s="6" t="s">
        <v>74</v>
      </c>
      <c r="C35" s="9">
        <f>IF(IF(ISNUMBER(VLOOKUP("3",A6:R108,3,FALSE)),ROUND(VLOOKUP("3",A6:R108,3,FALSE),4),0)&gt;0,IF(IF(ISNUMBER(VLOOKUP("3",A6:R108,3,FALSE)),ROUND(VLOOKUP("3",A6:R108,3,FALSE),4),0)&gt;IF(ISNUMBER(VLOOKUP("5.1",A6:R108,3,FALSE)),ROUND(VLOOKUP("5.1",A6:R108,3,FALSE),4),0),IF(ISNUMBER(VLOOKUP("5.1",A6:R108,3,FALSE)),ROUND(VLOOKUP("5.1",A6:R108,3,FALSE),4),0),IF(ISNUMBER(VLOOKUP("3",A6:R108,3,FALSE)),ROUND(VLOOKUP("3",A6:R108,3,FALSE),4),0)),0)</f>
        <v>0</v>
      </c>
      <c r="D35" s="9">
        <f>IF(IF(ISNUMBER(VLOOKUP("3",A6:R108,4,FALSE)),ROUND(VLOOKUP("3",A6:R108,4,FALSE),4),0)&gt;0,IF(IF(ISNUMBER(VLOOKUP("3",A6:R108,4,FALSE)),ROUND(VLOOKUP("3",A6:R108,4,FALSE),4),0)&gt;IF(ISNUMBER(VLOOKUP("5.1",A6:R108,4,FALSE)),ROUND(VLOOKUP("5.1",A6:R108,4,FALSE),4),0),IF(ISNUMBER(VLOOKUP("5.1",A6:R108,4,FALSE)),ROUND(VLOOKUP("5.1",A6:R108,4,FALSE),4),0),IF(ISNUMBER(VLOOKUP("3",A6:R108,4,FALSE)),ROUND(VLOOKUP("3",A6:R108,4,FALSE),4),0)),0)</f>
        <v>1935229.35</v>
      </c>
      <c r="E35" s="9">
        <f>IF(IF(ISNUMBER(VLOOKUP("3",A6:R108,5,FALSE)),ROUND(VLOOKUP("3",A6:R108,5,FALSE),4),0)&gt;0,IF(IF(ISNUMBER(VLOOKUP("3",A6:R108,5,FALSE)),ROUND(VLOOKUP("3",A6:R108,5,FALSE),4),0)&gt;IF(ISNUMBER(VLOOKUP("5.1",A6:R108,5,FALSE)),ROUND(VLOOKUP("5.1",A6:R108,5,FALSE),4),0),IF(ISNUMBER(VLOOKUP("5.1",A6:R108,5,FALSE)),ROUND(VLOOKUP("5.1",A6:R108,5,FALSE),4),0),IF(ISNUMBER(VLOOKUP("3",A6:R108,5,FALSE)),ROUND(VLOOKUP("3",A6:R108,5,FALSE),4),0)),0)</f>
        <v>2320000</v>
      </c>
      <c r="F35" s="9">
        <f>IF(IF(ISNUMBER(VLOOKUP("3",A6:R108,6,FALSE)),ROUND(VLOOKUP("3",A6:R108,6,FALSE),4),0)&gt;0,IF(IF(ISNUMBER(VLOOKUP("3",A6:R108,6,FALSE)),ROUND(VLOOKUP("3",A6:R108,6,FALSE),4),0)&gt;IF(ISNUMBER(VLOOKUP("5.1",A6:R108,6,FALSE)),ROUND(VLOOKUP("5.1",A6:R108,6,FALSE),4),0),IF(ISNUMBER(VLOOKUP("5.1",A6:R108,6,FALSE)),ROUND(VLOOKUP("5.1",A6:R108,6,FALSE),4),0),IF(ISNUMBER(VLOOKUP("3",A6:R108,6,FALSE)),ROUND(VLOOKUP("3",A6:R108,6,FALSE),4),0)),0)</f>
        <v>1222500</v>
      </c>
      <c r="G35" s="9">
        <f>IF(IF(ISNUMBER(VLOOKUP("3",A6:R108,7,FALSE)),ROUND(VLOOKUP("3",A6:R108,7,FALSE),4),0)&gt;0,IF(IF(ISNUMBER(VLOOKUP("3",A6:R108,7,FALSE)),ROUND(VLOOKUP("3",A6:R108,7,FALSE),4),0)&gt;IF(ISNUMBER(VLOOKUP("5.1",A6:R108,7,FALSE)),ROUND(VLOOKUP("5.1",A6:R108,7,FALSE),4),0),IF(ISNUMBER(VLOOKUP("5.1",A6:R108,7,FALSE)),ROUND(VLOOKUP("5.1",A6:R108,7,FALSE),4),0),IF(ISNUMBER(VLOOKUP("3",A6:R108,7,FALSE)),ROUND(VLOOKUP("3",A6:R108,7,FALSE),4),0)),0)</f>
        <v>1222500</v>
      </c>
      <c r="H35" s="9">
        <f>IF(IF(ISNUMBER(VLOOKUP("3",A6:R108,8,FALSE)),ROUND(VLOOKUP("3",A6:R108,8,FALSE),4),0)&gt;0,IF(IF(ISNUMBER(VLOOKUP("3",A6:R108,8,FALSE)),ROUND(VLOOKUP("3",A6:R108,8,FALSE),4),0)&gt;IF(ISNUMBER(VLOOKUP("5.1",A6:R108,8,FALSE)),ROUND(VLOOKUP("5.1",A6:R108,8,FALSE),4),0),IF(ISNUMBER(VLOOKUP("5.1",A6:R108,8,FALSE)),ROUND(VLOOKUP("5.1",A6:R108,8,FALSE),4),0),IF(ISNUMBER(VLOOKUP("3",A6:R108,8,FALSE)),ROUND(VLOOKUP("3",A6:R108,8,FALSE),4),0)),0)</f>
        <v>0</v>
      </c>
      <c r="I35" s="9">
        <f>IF(IF(ISNUMBER(VLOOKUP("3",A6:R108,9,FALSE)),ROUND(VLOOKUP("3",A6:R108,9,FALSE),4),0)&gt;0,IF(IF(ISNUMBER(VLOOKUP("3",A6:R108,9,FALSE)),ROUND(VLOOKUP("3",A6:R108,9,FALSE),4),0)&gt;IF(ISNUMBER(VLOOKUP("5.1",A6:R108,9,FALSE)),ROUND(VLOOKUP("5.1",A6:R108,9,FALSE),4),0),IF(ISNUMBER(VLOOKUP("5.1",A6:R108,9,FALSE)),ROUND(VLOOKUP("5.1",A6:R108,9,FALSE),4),0),IF(ISNUMBER(VLOOKUP("3",A6:R108,9,FALSE)),ROUND(VLOOKUP("3",A6:R108,9,FALSE),4),0)),0)</f>
        <v>0</v>
      </c>
      <c r="J35" s="9">
        <f>IF(IF(ISNUMBER(VLOOKUP("3",A6:R108,10,FALSE)),ROUND(VLOOKUP("3",A6:R108,10,FALSE),4),0)&gt;0,IF(IF(ISNUMBER(VLOOKUP("3",A6:R108,10,FALSE)),ROUND(VLOOKUP("3",A6:R108,10,FALSE),4),0)&gt;IF(ISNUMBER(VLOOKUP("5.1",A6:R108,10,FALSE)),ROUND(VLOOKUP("5.1",A6:R108,10,FALSE),4),0),IF(ISNUMBER(VLOOKUP("5.1",A6:R108,10,FALSE)),ROUND(VLOOKUP("5.1",A6:R108,10,FALSE),4),0),IF(ISNUMBER(VLOOKUP("3",A6:R108,10,FALSE)),ROUND(VLOOKUP("3",A6:R108,10,FALSE),4),0)),0)</f>
        <v>1422500</v>
      </c>
      <c r="K35" s="10">
        <f>IF(IF(ISNUMBER(VLOOKUP("3",A6:R108,11,FALSE)),ROUND(VLOOKUP("3",A6:R108,11,FALSE),4),0)&gt;0,IF(IF(ISNUMBER(VLOOKUP("3",A6:R108,11,FALSE)),ROUND(VLOOKUP("3",A6:R108,11,FALSE),4),0)&gt;IF(ISNUMBER(VLOOKUP("5.1",A6:R108,11,FALSE)),ROUND(VLOOKUP("5.1",A6:R108,11,FALSE),4),0),IF(ISNUMBER(VLOOKUP("5.1",A6:R108,11,FALSE)),ROUND(VLOOKUP("5.1",A6:R108,11,FALSE),4),0),IF(ISNUMBER(VLOOKUP("3",A6:R108,11,FALSE)),ROUND(VLOOKUP("3",A6:R108,11,FALSE),4),0)),0)</f>
        <v>283005</v>
      </c>
      <c r="L35" s="10">
        <f>IF(IF(ISNUMBER(VLOOKUP("3",A6:R108,12,FALSE)),ROUND(VLOOKUP("3",A6:R108,12,FALSE),4),0)&gt;0,IF(IF(ISNUMBER(VLOOKUP("3",A6:R108,12,FALSE)),ROUND(VLOOKUP("3",A6:R108,12,FALSE),4),0)&gt;IF(ISNUMBER(VLOOKUP("5.1",A6:R108,12,FALSE)),ROUND(VLOOKUP("5.1",A6:R108,12,FALSE),4),0),IF(ISNUMBER(VLOOKUP("5.1",A6:R108,12,FALSE)),ROUND(VLOOKUP("5.1",A6:R108,12,FALSE),4),0),IF(ISNUMBER(VLOOKUP("3",A6:R108,12,FALSE)),ROUND(VLOOKUP("3",A6:R108,12,FALSE),4),0)),0)</f>
        <v>1560000</v>
      </c>
      <c r="M35" s="10">
        <f>IF(IF(ISNUMBER(VLOOKUP("3",A6:R108,13,FALSE)),ROUND(VLOOKUP("3",A6:R108,13,FALSE),4),0)&gt;0,IF(IF(ISNUMBER(VLOOKUP("3",A6:R108,13,FALSE)),ROUND(VLOOKUP("3",A6:R108,13,FALSE),4),0)&gt;IF(ISNUMBER(VLOOKUP("5.1",A6:R108,13,FALSE)),ROUND(VLOOKUP("5.1",A6:R108,13,FALSE),4),0),IF(ISNUMBER(VLOOKUP("5.1",A6:R108,13,FALSE)),ROUND(VLOOKUP("5.1",A6:R108,13,FALSE),4),0),IF(ISNUMBER(VLOOKUP("3",A6:R108,13,FALSE)),ROUND(VLOOKUP("3",A6:R108,13,FALSE),4),0)),0)</f>
        <v>1485000</v>
      </c>
      <c r="N35" s="10">
        <f>IF(IF(ISNUMBER(VLOOKUP("3",A6:R108,14,FALSE)),ROUND(VLOOKUP("3",A6:R108,14,FALSE),4),0)&gt;0,IF(IF(ISNUMBER(VLOOKUP("3",A6:R108,14,FALSE)),ROUND(VLOOKUP("3",A6:R108,14,FALSE),4),0)&gt;IF(ISNUMBER(VLOOKUP("5.1",A6:R108,14,FALSE)),ROUND(VLOOKUP("5.1",A6:R108,14,FALSE),4),0),IF(ISNUMBER(VLOOKUP("5.1",A6:R108,14,FALSE)),ROUND(VLOOKUP("5.1",A6:R108,14,FALSE),4),0),IF(ISNUMBER(VLOOKUP("3",A6:R108,14,FALSE)),ROUND(VLOOKUP("3",A6:R108,14,FALSE),4),0)),0)</f>
        <v>1375000</v>
      </c>
      <c r="O35" s="10">
        <f>IF(IF(ISNUMBER(VLOOKUP("3",A6:R108,15,FALSE)),ROUND(VLOOKUP("3",A6:R108,15,FALSE),4),0)&gt;0,IF(IF(ISNUMBER(VLOOKUP("3",A6:R108,15,FALSE)),ROUND(VLOOKUP("3",A6:R108,15,FALSE),4),0)&gt;IF(ISNUMBER(VLOOKUP("5.1",A6:R108,15,FALSE)),ROUND(VLOOKUP("5.1",A6:R108,15,FALSE),4),0),IF(ISNUMBER(VLOOKUP("5.1",A6:R108,15,FALSE)),ROUND(VLOOKUP("5.1",A6:R108,15,FALSE),4),0),IF(ISNUMBER(VLOOKUP("3",A6:R108,15,FALSE)),ROUND(VLOOKUP("3",A6:R108,15,FALSE),4),0)),0)</f>
        <v>1375000</v>
      </c>
      <c r="P35" s="10">
        <f>IF(IF(ISNUMBER(VLOOKUP("3",A6:R108,16,FALSE)),ROUND(VLOOKUP("3",A6:R108,16,FALSE),4),0)&gt;0,IF(IF(ISNUMBER(VLOOKUP("3",A6:R108,16,FALSE)),ROUND(VLOOKUP("3",A6:R108,16,FALSE),4),0)&gt;IF(ISNUMBER(VLOOKUP("5.1",A6:R108,16,FALSE)),ROUND(VLOOKUP("5.1",A6:R108,16,FALSE),4),0),IF(ISNUMBER(VLOOKUP("5.1",A6:R108,16,FALSE)),ROUND(VLOOKUP("5.1",A6:R108,16,FALSE),4),0),IF(ISNUMBER(VLOOKUP("3",A6:R108,16,FALSE)),ROUND(VLOOKUP("3",A6:R108,16,FALSE),4),0)),0)</f>
        <v>1375000</v>
      </c>
      <c r="Q35" s="10">
        <f>IF(IF(ISNUMBER(VLOOKUP("3",A6:R108,17,FALSE)),ROUND(VLOOKUP("3",A6:R108,17,FALSE),4),0)&gt;0,IF(IF(ISNUMBER(VLOOKUP("3",A6:R108,17,FALSE)),ROUND(VLOOKUP("3",A6:R108,17,FALSE),4),0)&gt;IF(ISNUMBER(VLOOKUP("5.1",A6:R108,17,FALSE)),ROUND(VLOOKUP("5.1",A6:R108,17,FALSE),4),0),IF(ISNUMBER(VLOOKUP("5.1",A6:R108,17,FALSE)),ROUND(VLOOKUP("5.1",A6:R108,17,FALSE),4),0),IF(ISNUMBER(VLOOKUP("3",A6:R108,17,FALSE)),ROUND(VLOOKUP("3",A6:R108,17,FALSE),4),0)),0)</f>
        <v>1250000</v>
      </c>
      <c r="R35" s="10">
        <f>IF(IF(ISNUMBER(VLOOKUP("3",A6:R108,18,FALSE)),ROUND(VLOOKUP("3",A6:R108,18,FALSE),4),0)&gt;0,IF(IF(ISNUMBER(VLOOKUP("3",A6:R108,18,FALSE)),ROUND(VLOOKUP("3",A6:R108,18,FALSE),4),0)&gt;IF(ISNUMBER(VLOOKUP("5.1",A6:R108,18,FALSE)),ROUND(VLOOKUP("5.1",A6:R108,18,FALSE),4),0),IF(ISNUMBER(VLOOKUP("5.1",A6:R108,18,FALSE)),ROUND(VLOOKUP("5.1",A6:R108,18,FALSE),4),0),IF(ISNUMBER(VLOOKUP("3",A6:R108,18,FALSE)),ROUND(VLOOKUP("3",A6:R108,18,FALSE),4),0)),0)</f>
        <v>1250000</v>
      </c>
    </row>
    <row r="36" spans="1:18" ht="30" customHeight="1" x14ac:dyDescent="0.3">
      <c r="A36" s="1" t="s">
        <v>75</v>
      </c>
      <c r="B36" s="2" t="s">
        <v>76</v>
      </c>
      <c r="C36" s="3">
        <f>IF(ISNUMBER(VLOOKUP("4.1",A6:R108,3,FALSE)),ROUND(VLOOKUP("4.1",A6:R108,3,FALSE),4),0) + IF(ISNUMBER(VLOOKUP("4.2",A6:R108,3,FALSE)),ROUND(VLOOKUP("4.2",A6:R108,3,FALSE),4),0) + IF(ISNUMBER(VLOOKUP("4.3",A6:R108,3,FALSE)),ROUND(VLOOKUP("4.3",A6:R108,3,FALSE),4),0) + IF(ISNUMBER(VLOOKUP("4.4",A6:R108,3,FALSE)),ROUND(VLOOKUP("4.4",A6:R108,3,FALSE),4),0) + IF(ISNUMBER(VLOOKUP("4.5",A6:R108,3,FALSE)),ROUND(VLOOKUP("4.5",A6:R108,3,FALSE),4),0)</f>
        <v>3578725.88</v>
      </c>
      <c r="D36" s="3">
        <f>IF(ISNUMBER(VLOOKUP("4.1",A6:R108,4,FALSE)),ROUND(VLOOKUP("4.1",A6:R108,4,FALSE),4),0) + IF(ISNUMBER(VLOOKUP("4.2",A6:R108,4,FALSE)),ROUND(VLOOKUP("4.2",A6:R108,4,FALSE),4),0) + IF(ISNUMBER(VLOOKUP("4.3",A6:R108,4,FALSE)),ROUND(VLOOKUP("4.3",A6:R108,4,FALSE),4),0) + IF(ISNUMBER(VLOOKUP("4.4",A6:R108,4,FALSE)),ROUND(VLOOKUP("4.4",A6:R108,4,FALSE),4),0) + IF(ISNUMBER(VLOOKUP("4.5",A6:R108,4,FALSE)),ROUND(VLOOKUP("4.5",A6:R108,4,FALSE),4),0)</f>
        <v>2485939</v>
      </c>
      <c r="E36" s="3">
        <f>IF(ISNUMBER(VLOOKUP("4.1",A6:R108,5,FALSE)),ROUND(VLOOKUP("4.1",A6:R108,5,FALSE),4),0) + IF(ISNUMBER(VLOOKUP("4.2",A6:R108,5,FALSE)),ROUND(VLOOKUP("4.2",A6:R108,5,FALSE),4),0) + IF(ISNUMBER(VLOOKUP("4.3",A6:R108,5,FALSE)),ROUND(VLOOKUP("4.3",A6:R108,5,FALSE),4),0) + IF(ISNUMBER(VLOOKUP("4.4",A6:R108,5,FALSE)),ROUND(VLOOKUP("4.4",A6:R108,5,FALSE),4),0) + IF(ISNUMBER(VLOOKUP("4.5",A6:R108,5,FALSE)),ROUND(VLOOKUP("4.5",A6:R108,5,FALSE),4),0)</f>
        <v>1160000</v>
      </c>
      <c r="F36" s="3">
        <f>IF(ISNUMBER(VLOOKUP("4.1",A6:R108,6,FALSE)),ROUND(VLOOKUP("4.1",A6:R108,6,FALSE),4),0) + IF(ISNUMBER(VLOOKUP("4.2",A6:R108,6,FALSE)),ROUND(VLOOKUP("4.2",A6:R108,6,FALSE),4),0) + IF(ISNUMBER(VLOOKUP("4.3",A6:R108,6,FALSE)),ROUND(VLOOKUP("4.3",A6:R108,6,FALSE),4),0) + IF(ISNUMBER(VLOOKUP("4.4",A6:R108,6,FALSE)),ROUND(VLOOKUP("4.4",A6:R108,6,FALSE),4),0) + IF(ISNUMBER(VLOOKUP("4.5",A6:R108,6,FALSE)),ROUND(VLOOKUP("4.5",A6:R108,6,FALSE),4),0)</f>
        <v>7977870.8899999997</v>
      </c>
      <c r="G36" s="3">
        <f>IF(ISNUMBER(VLOOKUP("4.1",A6:R108,7,FALSE)),ROUND(VLOOKUP("4.1",A6:R108,7,FALSE),4),0) + IF(ISNUMBER(VLOOKUP("4.2",A6:R108,7,FALSE)),ROUND(VLOOKUP("4.2",A6:R108,7,FALSE),4),0) + IF(ISNUMBER(VLOOKUP("4.3",A6:R108,7,FALSE)),ROUND(VLOOKUP("4.3",A6:R108,7,FALSE),4),0) + IF(ISNUMBER(VLOOKUP("4.4",A6:R108,7,FALSE)),ROUND(VLOOKUP("4.4",A6:R108,7,FALSE),4),0) + IF(ISNUMBER(VLOOKUP("4.5",A6:R108,7,FALSE)),ROUND(VLOOKUP("4.5",A6:R108,7,FALSE),4),0)</f>
        <v>15733148.43</v>
      </c>
      <c r="H36" s="3">
        <f>IF(ISNUMBER(VLOOKUP("4.1",A6:R108,8,FALSE)),ROUND(VLOOKUP("4.1",A6:R108,8,FALSE),4),0) + IF(ISNUMBER(VLOOKUP("4.2",A6:R108,8,FALSE)),ROUND(VLOOKUP("4.2",A6:R108,8,FALSE),4),0) + IF(ISNUMBER(VLOOKUP("4.3",A6:R108,8,FALSE)),ROUND(VLOOKUP("4.3",A6:R108,8,FALSE),4),0) + IF(ISNUMBER(VLOOKUP("4.4",A6:R108,8,FALSE)),ROUND(VLOOKUP("4.4",A6:R108,8,FALSE),4),0) + IF(ISNUMBER(VLOOKUP("4.5",A6:R108,8,FALSE)),ROUND(VLOOKUP("4.5",A6:R108,8,FALSE),4),0)</f>
        <v>17633148.43</v>
      </c>
      <c r="I36" s="3">
        <f>IF(ISNUMBER(VLOOKUP("4.1",A6:R108,9,FALSE)),ROUND(VLOOKUP("4.1",A6:R108,9,FALSE),4),0) + IF(ISNUMBER(VLOOKUP("4.2",A6:R108,9,FALSE)),ROUND(VLOOKUP("4.2",A6:R108,9,FALSE),4),0) + IF(ISNUMBER(VLOOKUP("4.3",A6:R108,9,FALSE)),ROUND(VLOOKUP("4.3",A6:R108,9,FALSE),4),0) + IF(ISNUMBER(VLOOKUP("4.4",A6:R108,9,FALSE)),ROUND(VLOOKUP("4.4",A6:R108,9,FALSE),4),0) + IF(ISNUMBER(VLOOKUP("4.5",A6:R108,9,FALSE)),ROUND(VLOOKUP("4.5",A6:R108,9,FALSE),4),0)</f>
        <v>3000000</v>
      </c>
      <c r="J36" s="3">
        <f>IF(ISNUMBER(VLOOKUP("4.1",A6:R108,10,FALSE)),ROUND(VLOOKUP("4.1",A6:R108,10,FALSE),4),0) + IF(ISNUMBER(VLOOKUP("4.2",A6:R108,10,FALSE)),ROUND(VLOOKUP("4.2",A6:R108,10,FALSE),4),0) + IF(ISNUMBER(VLOOKUP("4.3",A6:R108,10,FALSE)),ROUND(VLOOKUP("4.3",A6:R108,10,FALSE),4),0) + IF(ISNUMBER(VLOOKUP("4.4",A6:R108,10,FALSE)),ROUND(VLOOKUP("4.4",A6:R108,10,FALSE),4),0) + IF(ISNUMBER(VLOOKUP("4.5",A6:R108,10,FALSE)),ROUND(VLOOKUP("4.5",A6:R108,10,FALSE),4),0)</f>
        <v>12625501.73</v>
      </c>
      <c r="K36" s="4">
        <f>IF(ISNUMBER(VLOOKUP("4.1",A6:R108,11,FALSE)),ROUND(VLOOKUP("4.1",A6:R108,11,FALSE),4),0) + IF(ISNUMBER(VLOOKUP("4.2",A6:R108,11,FALSE)),ROUND(VLOOKUP("4.2",A6:R108,11,FALSE),4),0) + IF(ISNUMBER(VLOOKUP("4.3",A6:R108,11,FALSE)),ROUND(VLOOKUP("4.3",A6:R108,11,FALSE),4),0) + IF(ISNUMBER(VLOOKUP("4.4",A6:R108,11,FALSE)),ROUND(VLOOKUP("4.4",A6:R108,11,FALSE),4),0) + IF(ISNUMBER(VLOOKUP("4.5",A6:R108,11,FALSE)),ROUND(VLOOKUP("4.5",A6:R108,11,FALSE),4),0)</f>
        <v>1276995</v>
      </c>
      <c r="L36" s="4">
        <f>IF(ISNUMBER(VLOOKUP("4.1",A6:R108,12,FALSE)),ROUND(VLOOKUP("4.1",A6:R108,12,FALSE),4),0) + IF(ISNUMBER(VLOOKUP("4.2",A6:R108,12,FALSE)),ROUND(VLOOKUP("4.2",A6:R108,12,FALSE),4),0) + IF(ISNUMBER(VLOOKUP("4.3",A6:R108,12,FALSE)),ROUND(VLOOKUP("4.3",A6:R108,12,FALSE),4),0) + IF(ISNUMBER(VLOOKUP("4.4",A6:R108,12,FALSE)),ROUND(VLOOKUP("4.4",A6:R108,12,FALSE),4),0) + IF(ISNUMBER(VLOOKUP("4.5",A6:R108,12,FALSE)),ROUND(VLOOKUP("4.5",A6:R108,12,FALSE),4),0)</f>
        <v>0</v>
      </c>
      <c r="M36" s="4">
        <f>IF(ISNUMBER(VLOOKUP("4.1",A6:R108,13,FALSE)),ROUND(VLOOKUP("4.1",A6:R108,13,FALSE),4),0) + IF(ISNUMBER(VLOOKUP("4.2",A6:R108,13,FALSE)),ROUND(VLOOKUP("4.2",A6:R108,13,FALSE),4),0) + IF(ISNUMBER(VLOOKUP("4.3",A6:R108,13,FALSE)),ROUND(VLOOKUP("4.3",A6:R108,13,FALSE),4),0) + IF(ISNUMBER(VLOOKUP("4.4",A6:R108,13,FALSE)),ROUND(VLOOKUP("4.4",A6:R108,13,FALSE),4),0) + IF(ISNUMBER(VLOOKUP("4.5",A6:R108,13,FALSE)),ROUND(VLOOKUP("4.5",A6:R108,13,FALSE),4),0)</f>
        <v>0</v>
      </c>
      <c r="N36" s="4">
        <f>IF(ISNUMBER(VLOOKUP("4.1",A6:R108,14,FALSE)),ROUND(VLOOKUP("4.1",A6:R108,14,FALSE),4),0) + IF(ISNUMBER(VLOOKUP("4.2",A6:R108,14,FALSE)),ROUND(VLOOKUP("4.2",A6:R108,14,FALSE),4),0) + IF(ISNUMBER(VLOOKUP("4.3",A6:R108,14,FALSE)),ROUND(VLOOKUP("4.3",A6:R108,14,FALSE),4),0) + IF(ISNUMBER(VLOOKUP("4.4",A6:R108,14,FALSE)),ROUND(VLOOKUP("4.4",A6:R108,14,FALSE),4),0) + IF(ISNUMBER(VLOOKUP("4.5",A6:R108,14,FALSE)),ROUND(VLOOKUP("4.5",A6:R108,14,FALSE),4),0)</f>
        <v>0</v>
      </c>
      <c r="O36" s="4">
        <f>IF(ISNUMBER(VLOOKUP("4.1",A6:R108,15,FALSE)),ROUND(VLOOKUP("4.1",A6:R108,15,FALSE),4),0) + IF(ISNUMBER(VLOOKUP("4.2",A6:R108,15,FALSE)),ROUND(VLOOKUP("4.2",A6:R108,15,FALSE),4),0) + IF(ISNUMBER(VLOOKUP("4.3",A6:R108,15,FALSE)),ROUND(VLOOKUP("4.3",A6:R108,15,FALSE),4),0) + IF(ISNUMBER(VLOOKUP("4.4",A6:R108,15,FALSE)),ROUND(VLOOKUP("4.4",A6:R108,15,FALSE),4),0) + IF(ISNUMBER(VLOOKUP("4.5",A6:R108,15,FALSE)),ROUND(VLOOKUP("4.5",A6:R108,15,FALSE),4),0)</f>
        <v>0</v>
      </c>
      <c r="P36" s="4">
        <f>IF(ISNUMBER(VLOOKUP("4.1",A6:R108,16,FALSE)),ROUND(VLOOKUP("4.1",A6:R108,16,FALSE),4),0) + IF(ISNUMBER(VLOOKUP("4.2",A6:R108,16,FALSE)),ROUND(VLOOKUP("4.2",A6:R108,16,FALSE),4),0) + IF(ISNUMBER(VLOOKUP("4.3",A6:R108,16,FALSE)),ROUND(VLOOKUP("4.3",A6:R108,16,FALSE),4),0) + IF(ISNUMBER(VLOOKUP("4.4",A6:R108,16,FALSE)),ROUND(VLOOKUP("4.4",A6:R108,16,FALSE),4),0) + IF(ISNUMBER(VLOOKUP("4.5",A6:R108,16,FALSE)),ROUND(VLOOKUP("4.5",A6:R108,16,FALSE),4),0)</f>
        <v>0</v>
      </c>
      <c r="Q36" s="4">
        <f>IF(ISNUMBER(VLOOKUP("4.1",A6:R108,17,FALSE)),ROUND(VLOOKUP("4.1",A6:R108,17,FALSE),4),0) + IF(ISNUMBER(VLOOKUP("4.2",A6:R108,17,FALSE)),ROUND(VLOOKUP("4.2",A6:R108,17,FALSE),4),0) + IF(ISNUMBER(VLOOKUP("4.3",A6:R108,17,FALSE)),ROUND(VLOOKUP("4.3",A6:R108,17,FALSE),4),0) + IF(ISNUMBER(VLOOKUP("4.4",A6:R108,17,FALSE)),ROUND(VLOOKUP("4.4",A6:R108,17,FALSE),4),0) + IF(ISNUMBER(VLOOKUP("4.5",A6:R108,17,FALSE)),ROUND(VLOOKUP("4.5",A6:R108,17,FALSE),4),0)</f>
        <v>0</v>
      </c>
      <c r="R36" s="4">
        <f>IF(ISNUMBER(VLOOKUP("4.1",A6:R108,18,FALSE)),ROUND(VLOOKUP("4.1",A6:R108,18,FALSE),4),0) + IF(ISNUMBER(VLOOKUP("4.2",A6:R108,18,FALSE)),ROUND(VLOOKUP("4.2",A6:R108,18,FALSE),4),0) + IF(ISNUMBER(VLOOKUP("4.3",A6:R108,18,FALSE)),ROUND(VLOOKUP("4.3",A6:R108,18,FALSE),4),0) + IF(ISNUMBER(VLOOKUP("4.4",A6:R108,18,FALSE)),ROUND(VLOOKUP("4.4",A6:R108,18,FALSE),4),0) + IF(ISNUMBER(VLOOKUP("4.5",A6:R108,18,FALSE)),ROUND(VLOOKUP("4.5",A6:R108,18,FALSE),4),0)</f>
        <v>0</v>
      </c>
    </row>
    <row r="37" spans="1:18" ht="30" customHeight="1" x14ac:dyDescent="0.3">
      <c r="A37" s="1" t="s">
        <v>77</v>
      </c>
      <c r="B37" s="2" t="s">
        <v>78</v>
      </c>
      <c r="C37" s="3">
        <v>3500000</v>
      </c>
      <c r="D37" s="3">
        <v>0</v>
      </c>
      <c r="E37" s="3">
        <v>0</v>
      </c>
      <c r="F37" s="3">
        <v>0</v>
      </c>
      <c r="G37" s="3">
        <v>2500000</v>
      </c>
      <c r="H37" s="3">
        <v>4400000</v>
      </c>
      <c r="I37" s="3">
        <v>3000000</v>
      </c>
      <c r="J37" s="3">
        <v>3000000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 x14ac:dyDescent="0.3">
      <c r="A38" s="5" t="s">
        <v>79</v>
      </c>
      <c r="B38" s="6" t="s">
        <v>80</v>
      </c>
      <c r="C38" s="9">
        <v>1565000</v>
      </c>
      <c r="D38" s="9">
        <v>0</v>
      </c>
      <c r="E38" s="9">
        <v>0</v>
      </c>
      <c r="F38" s="9">
        <v>0</v>
      </c>
      <c r="G38" s="9">
        <v>0</v>
      </c>
      <c r="H38" s="9">
        <v>4400000</v>
      </c>
      <c r="I38" s="9">
        <v>1577500</v>
      </c>
      <c r="J38" s="9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</row>
    <row r="39" spans="1:18" ht="30" customHeight="1" x14ac:dyDescent="0.3">
      <c r="A39" s="1" t="s">
        <v>81</v>
      </c>
      <c r="B39" s="2" t="s">
        <v>82</v>
      </c>
      <c r="C39" s="11">
        <v>0</v>
      </c>
      <c r="D39" s="11">
        <v>0</v>
      </c>
      <c r="E39" s="11">
        <v>0</v>
      </c>
      <c r="F39" s="11">
        <v>1657870.89</v>
      </c>
      <c r="G39" s="11">
        <v>6658148.4299999997</v>
      </c>
      <c r="H39" s="11">
        <v>6658148.4299999997</v>
      </c>
      <c r="I39" s="11">
        <v>0</v>
      </c>
      <c r="J39" s="11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ht="30" customHeight="1" x14ac:dyDescent="0.3">
      <c r="A40" s="5" t="s">
        <v>83</v>
      </c>
      <c r="B40" s="6" t="s">
        <v>80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2285146.7000000002</v>
      </c>
      <c r="I40" s="9">
        <v>0</v>
      </c>
      <c r="J40" s="9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</row>
    <row r="41" spans="1:18" ht="30" customHeight="1" x14ac:dyDescent="0.3">
      <c r="A41" s="5" t="s">
        <v>84</v>
      </c>
      <c r="B41" s="6" t="s">
        <v>85</v>
      </c>
      <c r="C41" s="7">
        <v>78725.88</v>
      </c>
      <c r="D41" s="7">
        <v>1785939</v>
      </c>
      <c r="E41" s="7">
        <v>1160000</v>
      </c>
      <c r="F41" s="7">
        <v>6320000</v>
      </c>
      <c r="G41" s="7">
        <v>6575000</v>
      </c>
      <c r="H41" s="7">
        <v>6575000</v>
      </c>
      <c r="I41" s="7">
        <v>0</v>
      </c>
      <c r="J41" s="7">
        <v>9625501.7300000004</v>
      </c>
      <c r="K41" s="8">
        <v>1276995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</row>
    <row r="42" spans="1:18" ht="30" customHeight="1" x14ac:dyDescent="0.3">
      <c r="A42" s="5" t="s">
        <v>86</v>
      </c>
      <c r="B42" s="6" t="s">
        <v>80</v>
      </c>
      <c r="C42" s="9">
        <v>78725.88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</row>
    <row r="43" spans="1:18" ht="30" customHeight="1" x14ac:dyDescent="0.3">
      <c r="A43" s="5" t="s">
        <v>87</v>
      </c>
      <c r="B43" s="6" t="s">
        <v>88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</row>
    <row r="44" spans="1:18" ht="30" customHeight="1" x14ac:dyDescent="0.3">
      <c r="A44" s="5" t="s">
        <v>89</v>
      </c>
      <c r="B44" s="6" t="s">
        <v>80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</row>
    <row r="45" spans="1:18" ht="30" customHeight="1" x14ac:dyDescent="0.3">
      <c r="A45" s="1" t="s">
        <v>90</v>
      </c>
      <c r="B45" s="2" t="s">
        <v>91</v>
      </c>
      <c r="C45" s="11">
        <v>0</v>
      </c>
      <c r="D45" s="11">
        <v>700000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ht="30" customHeight="1" x14ac:dyDescent="0.3">
      <c r="A46" s="5" t="s">
        <v>92</v>
      </c>
      <c r="B46" s="6" t="s">
        <v>80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</row>
    <row r="47" spans="1:18" ht="30" customHeight="1" x14ac:dyDescent="0.3">
      <c r="A47" s="1" t="s">
        <v>93</v>
      </c>
      <c r="B47" s="2" t="s">
        <v>94</v>
      </c>
      <c r="C47" s="3">
        <f>IF(ISNUMBER(VLOOKUP("5.1",A6:R108,3,FALSE)),ROUND(VLOOKUP("5.1",A6:R108,3,FALSE),4),0) + IF(ISNUMBER(VLOOKUP("5.2",A6:R108,3,FALSE)),ROUND(VLOOKUP("5.2",A6:R108,3,FALSE),4),0)</f>
        <v>1935000</v>
      </c>
      <c r="D47" s="3">
        <f>IF(ISNUMBER(VLOOKUP("5.1",A6:R108,4,FALSE)),ROUND(VLOOKUP("5.1",A6:R108,4,FALSE),4),0) + IF(ISNUMBER(VLOOKUP("5.2",A6:R108,4,FALSE)),ROUND(VLOOKUP("5.2",A6:R108,4,FALSE),4),0)</f>
        <v>2885000</v>
      </c>
      <c r="E47" s="3">
        <f>IF(ISNUMBER(VLOOKUP("5.1",A6:R108,5,FALSE)),ROUND(VLOOKUP("5.1",A6:R108,5,FALSE),4),0) + IF(ISNUMBER(VLOOKUP("5.2",A6:R108,5,FALSE)),ROUND(VLOOKUP("5.2",A6:R108,5,FALSE),4),0)</f>
        <v>2320000</v>
      </c>
      <c r="F47" s="3">
        <f>IF(ISNUMBER(VLOOKUP("5.1",A6:R108,6,FALSE)),ROUND(VLOOKUP("5.1",A6:R108,6,FALSE),4),0) + IF(ISNUMBER(VLOOKUP("5.2",A6:R108,6,FALSE)),ROUND(VLOOKUP("5.2",A6:R108,6,FALSE),4),0)</f>
        <v>1222500</v>
      </c>
      <c r="G47" s="3">
        <f>IF(ISNUMBER(VLOOKUP("5.1",A6:R108,7,FALSE)),ROUND(VLOOKUP("5.1",A6:R108,7,FALSE),4),0) + IF(ISNUMBER(VLOOKUP("5.2",A6:R108,7,FALSE)),ROUND(VLOOKUP("5.2",A6:R108,7,FALSE),4),0)</f>
        <v>1222500</v>
      </c>
      <c r="H47" s="3">
        <f>IF(ISNUMBER(VLOOKUP("5.1",A6:R108,8,FALSE)),ROUND(VLOOKUP("5.1",A6:R108,8,FALSE),4),0) + IF(ISNUMBER(VLOOKUP("5.2",A6:R108,8,FALSE)),ROUND(VLOOKUP("5.2",A6:R108,8,FALSE),4),0)</f>
        <v>1322500</v>
      </c>
      <c r="I47" s="3">
        <f>IF(ISNUMBER(VLOOKUP("5.1",A6:R108,9,FALSE)),ROUND(VLOOKUP("5.1",A6:R108,9,FALSE),4),0) + IF(ISNUMBER(VLOOKUP("5.2",A6:R108,9,FALSE)),ROUND(VLOOKUP("5.2",A6:R108,9,FALSE),4),0)</f>
        <v>1422500</v>
      </c>
      <c r="J47" s="3">
        <f>IF(ISNUMBER(VLOOKUP("5.1",A6:R108,10,FALSE)),ROUND(VLOOKUP("5.1",A6:R108,10,FALSE),4),0) + IF(ISNUMBER(VLOOKUP("5.2",A6:R108,10,FALSE)),ROUND(VLOOKUP("5.2",A6:R108,10,FALSE),4),0)</f>
        <v>1422500</v>
      </c>
      <c r="K47" s="4">
        <f>IF(ISNUMBER(VLOOKUP("5.1",A6:R108,11,FALSE)),ROUND(VLOOKUP("5.1",A6:R108,11,FALSE),4),0) + IF(ISNUMBER(VLOOKUP("5.2",A6:R108,11,FALSE)),ROUND(VLOOKUP("5.2",A6:R108,11,FALSE),4),0)</f>
        <v>1560000</v>
      </c>
      <c r="L47" s="4">
        <f>IF(ISNUMBER(VLOOKUP("5.1",A6:R108,12,FALSE)),ROUND(VLOOKUP("5.1",A6:R108,12,FALSE),4),0) + IF(ISNUMBER(VLOOKUP("5.2",A6:R108,12,FALSE)),ROUND(VLOOKUP("5.2",A6:R108,12,FALSE),4),0)</f>
        <v>1560000</v>
      </c>
      <c r="M47" s="4">
        <f>IF(ISNUMBER(VLOOKUP("5.1",A6:R108,13,FALSE)),ROUND(VLOOKUP("5.1",A6:R108,13,FALSE),4),0) + IF(ISNUMBER(VLOOKUP("5.2",A6:R108,13,FALSE)),ROUND(VLOOKUP("5.2",A6:R108,13,FALSE),4),0)</f>
        <v>1485000</v>
      </c>
      <c r="N47" s="4">
        <f>IF(ISNUMBER(VLOOKUP("5.1",A6:R108,14,FALSE)),ROUND(VLOOKUP("5.1",A6:R108,14,FALSE),4),0) + IF(ISNUMBER(VLOOKUP("5.2",A6:R108,14,FALSE)),ROUND(VLOOKUP("5.2",A6:R108,14,FALSE),4),0)</f>
        <v>1375000</v>
      </c>
      <c r="O47" s="4">
        <f>IF(ISNUMBER(VLOOKUP("5.1",A6:R108,15,FALSE)),ROUND(VLOOKUP("5.1",A6:R108,15,FALSE),4),0) + IF(ISNUMBER(VLOOKUP("5.2",A6:R108,15,FALSE)),ROUND(VLOOKUP("5.2",A6:R108,15,FALSE),4),0)</f>
        <v>1375000</v>
      </c>
      <c r="P47" s="4">
        <f>IF(ISNUMBER(VLOOKUP("5.1",A6:R108,16,FALSE)),ROUND(VLOOKUP("5.1",A6:R108,16,FALSE),4),0) + IF(ISNUMBER(VLOOKUP("5.2",A6:R108,16,FALSE)),ROUND(VLOOKUP("5.2",A6:R108,16,FALSE),4),0)</f>
        <v>1375000</v>
      </c>
      <c r="Q47" s="4">
        <f>IF(ISNUMBER(VLOOKUP("5.1",A6:R108,17,FALSE)),ROUND(VLOOKUP("5.1",A6:R108,17,FALSE),4),0) + IF(ISNUMBER(VLOOKUP("5.2",A6:R108,17,FALSE)),ROUND(VLOOKUP("5.2",A6:R108,17,FALSE),4),0)</f>
        <v>1250000</v>
      </c>
      <c r="R47" s="4">
        <f>IF(ISNUMBER(VLOOKUP("5.1",A6:R108,18,FALSE)),ROUND(VLOOKUP("5.1",A6:R108,18,FALSE),4),0) + IF(ISNUMBER(VLOOKUP("5.2",A6:R108,18,FALSE)),ROUND(VLOOKUP("5.2",A6:R108,18,FALSE),4),0)</f>
        <v>1250000</v>
      </c>
    </row>
    <row r="48" spans="1:18" ht="30" customHeight="1" x14ac:dyDescent="0.3">
      <c r="A48" s="1" t="s">
        <v>95</v>
      </c>
      <c r="B48" s="2" t="s">
        <v>96</v>
      </c>
      <c r="C48" s="3">
        <v>1935000</v>
      </c>
      <c r="D48" s="3">
        <v>2185000</v>
      </c>
      <c r="E48" s="3">
        <v>2320000</v>
      </c>
      <c r="F48" s="3">
        <v>1222500</v>
      </c>
      <c r="G48" s="3">
        <v>1222500</v>
      </c>
      <c r="H48" s="3">
        <v>1322500</v>
      </c>
      <c r="I48" s="3">
        <v>1422500</v>
      </c>
      <c r="J48" s="3">
        <v>1422500</v>
      </c>
      <c r="K48" s="4">
        <v>1560000</v>
      </c>
      <c r="L48" s="4">
        <v>1560000</v>
      </c>
      <c r="M48" s="4">
        <v>1485000</v>
      </c>
      <c r="N48" s="4">
        <v>1375000</v>
      </c>
      <c r="O48" s="4">
        <v>1375000</v>
      </c>
      <c r="P48" s="4">
        <v>1375000</v>
      </c>
      <c r="Q48" s="4">
        <v>1250000</v>
      </c>
      <c r="R48" s="4">
        <v>1250000</v>
      </c>
    </row>
    <row r="49" spans="1:18" ht="30" customHeight="1" x14ac:dyDescent="0.3">
      <c r="A49" s="5" t="s">
        <v>97</v>
      </c>
      <c r="B49" s="6" t="s">
        <v>98</v>
      </c>
      <c r="C49" s="9">
        <f>IF(ISNUMBER(VLOOKUP("5.1.1.1",A6:R108,3,FALSE)),ROUND(VLOOKUP("5.1.1.1",A6:R108,3,FALSE),4),0) + IF(ISNUMBER(VLOOKUP("5.1.1.2",A6:R108,3,FALSE)),ROUND(VLOOKUP("5.1.1.2",A6:R108,3,FALSE),4),0) + IF(ISNUMBER(VLOOKUP("5.1.1.3",A6:R108,3,FALSE)),ROUND(VLOOKUP("5.1.1.3",A6:R108,3,FALSE),4),0) + IF(ISNA(VLOOKUP("5.1.1.4",A6:R108,3,FALSE)),0,ROUND(VLOOKUP("5.1.1.4",A6:R108,3,FALSE),4))</f>
        <v>0</v>
      </c>
      <c r="D49" s="9">
        <f>IF(ISNUMBER(VLOOKUP("5.1.1.1",A6:R108,4,FALSE)),ROUND(VLOOKUP("5.1.1.1",A6:R108,4,FALSE),4),0) + IF(ISNUMBER(VLOOKUP("5.1.1.2",A6:R108,4,FALSE)),ROUND(VLOOKUP("5.1.1.2",A6:R108,4,FALSE),4),0) + IF(ISNUMBER(VLOOKUP("5.1.1.3",A6:R108,4,FALSE)),ROUND(VLOOKUP("5.1.1.3",A6:R108,4,FALSE),4),0) + IF(ISNA(VLOOKUP("5.1.1.4",A6:R108,4,FALSE)),0,ROUND(VLOOKUP("5.1.1.4",A6:R108,4,FALSE),4))</f>
        <v>0</v>
      </c>
      <c r="E49" s="9">
        <f>IF(ISNUMBER(VLOOKUP("5.1.1.1",A6:R108,5,FALSE)),ROUND(VLOOKUP("5.1.1.1",A6:R108,5,FALSE),4),0) + IF(ISNUMBER(VLOOKUP("5.1.1.2",A6:R108,5,FALSE)),ROUND(VLOOKUP("5.1.1.2",A6:R108,5,FALSE),4),0) + IF(ISNUMBER(VLOOKUP("5.1.1.3",A6:R108,5,FALSE)),ROUND(VLOOKUP("5.1.1.3",A6:R108,5,FALSE),4),0) + IF(ISNA(VLOOKUP("5.1.1.4",A6:R108,5,FALSE)),0,ROUND(VLOOKUP("5.1.1.4",A6:R108,5,FALSE),4))</f>
        <v>0</v>
      </c>
      <c r="F49" s="9">
        <f>IF(ISNUMBER(VLOOKUP("5.1.1.1",A6:R108,6,FALSE)),ROUND(VLOOKUP("5.1.1.1",A6:R108,6,FALSE),4),0) + IF(ISNUMBER(VLOOKUP("5.1.1.2",A6:R108,6,FALSE)),ROUND(VLOOKUP("5.1.1.2",A6:R108,6,FALSE),4),0) + IF(ISNUMBER(VLOOKUP("5.1.1.3",A6:R108,6,FALSE)),ROUND(VLOOKUP("5.1.1.3",A6:R108,6,FALSE),4),0) + IF(ISNA(VLOOKUP("5.1.1.4",A6:R108,6,FALSE)),0,ROUND(VLOOKUP("5.1.1.4",A6:R108,6,FALSE),4))</f>
        <v>0</v>
      </c>
      <c r="G49" s="9">
        <f>IF(ISNUMBER(VLOOKUP("5.1.1.1",A6:R108,7,FALSE)),ROUND(VLOOKUP("5.1.1.1",A6:R108,7,FALSE),4),0) + IF(ISNUMBER(VLOOKUP("5.1.1.2",A6:R108,7,FALSE)),ROUND(VLOOKUP("5.1.1.2",A6:R108,7,FALSE),4),0) + IF(ISNUMBER(VLOOKUP("5.1.1.3",A6:R108,7,FALSE)),ROUND(VLOOKUP("5.1.1.3",A6:R108,7,FALSE),4),0) + IF(ISNA(VLOOKUP("5.1.1.4",A6:R108,7,FALSE)),0,ROUND(VLOOKUP("5.1.1.4",A6:R108,7,FALSE),4))</f>
        <v>0</v>
      </c>
      <c r="H49" s="9">
        <f>IF(ISNUMBER(VLOOKUP("5.1.1.1",A6:R108,8,FALSE)),ROUND(VLOOKUP("5.1.1.1",A6:R108,8,FALSE),4),0) + IF(ISNUMBER(VLOOKUP("5.1.1.2",A6:R108,8,FALSE)),ROUND(VLOOKUP("5.1.1.2",A6:R108,8,FALSE),4),0) + IF(ISNUMBER(VLOOKUP("5.1.1.3",A6:R108,8,FALSE)),ROUND(VLOOKUP("5.1.1.3",A6:R108,8,FALSE),4),0) + IF(ISNA(VLOOKUP("5.1.1.4",A6:R108,8,FALSE)),0,ROUND(VLOOKUP("5.1.1.4",A6:R108,8,FALSE),4))</f>
        <v>0</v>
      </c>
      <c r="I49" s="9">
        <f>IF(ISNUMBER(VLOOKUP("5.1.1.1",A6:R108,9,FALSE)),ROUND(VLOOKUP("5.1.1.1",A6:R108,9,FALSE),4),0) + IF(ISNUMBER(VLOOKUP("5.1.1.2",A6:R108,9,FALSE)),ROUND(VLOOKUP("5.1.1.2",A6:R108,9,FALSE),4),0) + IF(ISNUMBER(VLOOKUP("5.1.1.3",A6:R108,9,FALSE)),ROUND(VLOOKUP("5.1.1.3",A6:R108,9,FALSE),4),0) + IF(ISNA(VLOOKUP("5.1.1.4",A6:R108,9,FALSE)),0,ROUND(VLOOKUP("5.1.1.4",A6:R108,9,FALSE),4))</f>
        <v>0</v>
      </c>
      <c r="J49" s="9">
        <f>IF(ISNUMBER(VLOOKUP("5.1.1.1",A6:R108,10,FALSE)),ROUND(VLOOKUP("5.1.1.1",A6:R108,10,FALSE),4),0) + IF(ISNUMBER(VLOOKUP("5.1.1.2",A6:R108,10,FALSE)),ROUND(VLOOKUP("5.1.1.2",A6:R108,10,FALSE),4),0) + IF(ISNUMBER(VLOOKUP("5.1.1.3",A6:R108,10,FALSE)),ROUND(VLOOKUP("5.1.1.3",A6:R108,10,FALSE),4),0) + IF(ISNA(VLOOKUP("5.1.1.4",A6:R108,10,FALSE)),0,ROUND(VLOOKUP("5.1.1.4",A6:R108,10,FALSE),4))</f>
        <v>0</v>
      </c>
      <c r="K49" s="10">
        <f>IF(ISNUMBER(VLOOKUP("5.1.1.1",A6:R108,11,FALSE)),ROUND(VLOOKUP("5.1.1.1",A6:R108,11,FALSE),4),0) + IF(ISNUMBER(VLOOKUP("5.1.1.2",A6:R108,11,FALSE)),ROUND(VLOOKUP("5.1.1.2",A6:R108,11,FALSE),4),0) + IF(ISNUMBER(VLOOKUP("5.1.1.3",A6:R108,11,FALSE)),ROUND(VLOOKUP("5.1.1.3",A6:R108,11,FALSE),4),0) + IF(ISNA(VLOOKUP("5.1.1.4",A6:R108,11,FALSE)),0,ROUND(VLOOKUP("5.1.1.4",A6:R108,11,FALSE),4))</f>
        <v>0</v>
      </c>
      <c r="L49" s="10">
        <f>IF(ISNUMBER(VLOOKUP("5.1.1.1",A6:R108,12,FALSE)),ROUND(VLOOKUP("5.1.1.1",A6:R108,12,FALSE),4),0) + IF(ISNUMBER(VLOOKUP("5.1.1.2",A6:R108,12,FALSE)),ROUND(VLOOKUP("5.1.1.2",A6:R108,12,FALSE),4),0) + IF(ISNUMBER(VLOOKUP("5.1.1.3",A6:R108,12,FALSE)),ROUND(VLOOKUP("5.1.1.3",A6:R108,12,FALSE),4),0) + IF(ISNA(VLOOKUP("5.1.1.4",A6:R108,12,FALSE)),0,ROUND(VLOOKUP("5.1.1.4",A6:R108,12,FALSE),4))</f>
        <v>0</v>
      </c>
      <c r="M49" s="10">
        <f>IF(ISNUMBER(VLOOKUP("5.1.1.1",A6:R108,13,FALSE)),ROUND(VLOOKUP("5.1.1.1",A6:R108,13,FALSE),4),0) + IF(ISNUMBER(VLOOKUP("5.1.1.2",A6:R108,13,FALSE)),ROUND(VLOOKUP("5.1.1.2",A6:R108,13,FALSE),4),0) + IF(ISNUMBER(VLOOKUP("5.1.1.3",A6:R108,13,FALSE)),ROUND(VLOOKUP("5.1.1.3",A6:R108,13,FALSE),4),0) + IF(ISNA(VLOOKUP("5.1.1.4",A6:R108,13,FALSE)),0,ROUND(VLOOKUP("5.1.1.4",A6:R108,13,FALSE),4))</f>
        <v>0</v>
      </c>
      <c r="N49" s="10">
        <f>IF(ISNUMBER(VLOOKUP("5.1.1.1",A6:R108,14,FALSE)),ROUND(VLOOKUP("5.1.1.1",A6:R108,14,FALSE),4),0) + IF(ISNUMBER(VLOOKUP("5.1.1.2",A6:R108,14,FALSE)),ROUND(VLOOKUP("5.1.1.2",A6:R108,14,FALSE),4),0) + IF(ISNUMBER(VLOOKUP("5.1.1.3",A6:R108,14,FALSE)),ROUND(VLOOKUP("5.1.1.3",A6:R108,14,FALSE),4),0) + IF(ISNA(VLOOKUP("5.1.1.4",A6:R108,14,FALSE)),0,ROUND(VLOOKUP("5.1.1.4",A6:R108,14,FALSE),4))</f>
        <v>0</v>
      </c>
      <c r="O49" s="10">
        <f>IF(ISNUMBER(VLOOKUP("5.1.1.1",A6:R108,15,FALSE)),ROUND(VLOOKUP("5.1.1.1",A6:R108,15,FALSE),4),0) + IF(ISNUMBER(VLOOKUP("5.1.1.2",A6:R108,15,FALSE)),ROUND(VLOOKUP("5.1.1.2",A6:R108,15,FALSE),4),0) + IF(ISNUMBER(VLOOKUP("5.1.1.3",A6:R108,15,FALSE)),ROUND(VLOOKUP("5.1.1.3",A6:R108,15,FALSE),4),0) + IF(ISNA(VLOOKUP("5.1.1.4",A6:R108,15,FALSE)),0,ROUND(VLOOKUP("5.1.1.4",A6:R108,15,FALSE),4))</f>
        <v>0</v>
      </c>
      <c r="P49" s="10">
        <f>IF(ISNUMBER(VLOOKUP("5.1.1.1",A6:R108,16,FALSE)),ROUND(VLOOKUP("5.1.1.1",A6:R108,16,FALSE),4),0) + IF(ISNUMBER(VLOOKUP("5.1.1.2",A6:R108,16,FALSE)),ROUND(VLOOKUP("5.1.1.2",A6:R108,16,FALSE),4),0) + IF(ISNUMBER(VLOOKUP("5.1.1.3",A6:R108,16,FALSE)),ROUND(VLOOKUP("5.1.1.3",A6:R108,16,FALSE),4),0) + IF(ISNA(VLOOKUP("5.1.1.4",A6:R108,16,FALSE)),0,ROUND(VLOOKUP("5.1.1.4",A6:R108,16,FALSE),4))</f>
        <v>0</v>
      </c>
      <c r="Q49" s="10">
        <f>IF(ISNUMBER(VLOOKUP("5.1.1.1",A6:R108,17,FALSE)),ROUND(VLOOKUP("5.1.1.1",A6:R108,17,FALSE),4),0) + IF(ISNUMBER(VLOOKUP("5.1.1.2",A6:R108,17,FALSE)),ROUND(VLOOKUP("5.1.1.2",A6:R108,17,FALSE),4),0) + IF(ISNUMBER(VLOOKUP("5.1.1.3",A6:R108,17,FALSE)),ROUND(VLOOKUP("5.1.1.3",A6:R108,17,FALSE),4),0) + IF(ISNA(VLOOKUP("5.1.1.4",A6:R108,17,FALSE)),0,ROUND(VLOOKUP("5.1.1.4",A6:R108,17,FALSE),4))</f>
        <v>0</v>
      </c>
      <c r="R49" s="10">
        <f>IF(ISNUMBER(VLOOKUP("5.1.1.1",A6:R108,18,FALSE)),ROUND(VLOOKUP("5.1.1.1",A6:R108,18,FALSE),4),0) + IF(ISNUMBER(VLOOKUP("5.1.1.2",A6:R108,18,FALSE)),ROUND(VLOOKUP("5.1.1.2",A6:R108,18,FALSE),4),0) + IF(ISNUMBER(VLOOKUP("5.1.1.3",A6:R108,18,FALSE)),ROUND(VLOOKUP("5.1.1.3",A6:R108,18,FALSE),4),0) + IF(ISNA(VLOOKUP("5.1.1.4",A6:R108,18,FALSE)),0,ROUND(VLOOKUP("5.1.1.4",A6:R108,18,FALSE),4))</f>
        <v>0</v>
      </c>
    </row>
    <row r="50" spans="1:18" ht="30" customHeight="1" x14ac:dyDescent="0.3">
      <c r="A50" s="5" t="s">
        <v>99</v>
      </c>
      <c r="B50" s="6" t="s">
        <v>100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</row>
    <row r="51" spans="1:18" ht="30" customHeight="1" x14ac:dyDescent="0.3">
      <c r="A51" s="5" t="s">
        <v>101</v>
      </c>
      <c r="B51" s="6" t="s">
        <v>102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</row>
    <row r="52" spans="1:18" ht="30" customHeight="1" x14ac:dyDescent="0.3">
      <c r="A52" s="5" t="s">
        <v>103</v>
      </c>
      <c r="B52" s="6" t="s">
        <v>104</v>
      </c>
      <c r="C52" s="9">
        <f>IF(ISNUMBER(VLOOKUP("5.1.1.3.1",A6:R108,3,FALSE)),ROUND(VLOOKUP("5.1.1.3.1",A6:R108,3,FALSE),4),0) + IF(ISNUMBER(VLOOKUP("5.1.1.3.2",A6:R108,3,FALSE)),ROUND(VLOOKUP("5.1.1.3.2",A6:R108,3,FALSE),4),0) + IF(ISNUMBER(VLOOKUP("5.1.1.3.3",A6:R108,3,FALSE)),ROUND(VLOOKUP("5.1.1.3.3",A6:R108,3,FALSE),4),0)</f>
        <v>0</v>
      </c>
      <c r="D52" s="9">
        <f>IF(ISNUMBER(VLOOKUP("5.1.1.3.1",A6:R108,4,FALSE)),ROUND(VLOOKUP("5.1.1.3.1",A6:R108,4,FALSE),4),0) + IF(ISNUMBER(VLOOKUP("5.1.1.3.2",A6:R108,4,FALSE)),ROUND(VLOOKUP("5.1.1.3.2",A6:R108,4,FALSE),4),0) + IF(ISNUMBER(VLOOKUP("5.1.1.3.3",A6:R108,4,FALSE)),ROUND(VLOOKUP("5.1.1.3.3",A6:R108,4,FALSE),4),0)</f>
        <v>0</v>
      </c>
      <c r="E52" s="9">
        <f>IF(ISNUMBER(VLOOKUP("5.1.1.3.1",A6:R108,5,FALSE)),ROUND(VLOOKUP("5.1.1.3.1",A6:R108,5,FALSE),4),0) + IF(ISNUMBER(VLOOKUP("5.1.1.3.2",A6:R108,5,FALSE)),ROUND(VLOOKUP("5.1.1.3.2",A6:R108,5,FALSE),4),0) + IF(ISNUMBER(VLOOKUP("5.1.1.3.3",A6:R108,5,FALSE)),ROUND(VLOOKUP("5.1.1.3.3",A6:R108,5,FALSE),4),0)</f>
        <v>0</v>
      </c>
      <c r="F52" s="9">
        <f>IF(ISNUMBER(VLOOKUP("5.1.1.3.1",A6:R108,6,FALSE)),ROUND(VLOOKUP("5.1.1.3.1",A6:R108,6,FALSE),4),0) + IF(ISNUMBER(VLOOKUP("5.1.1.3.2",A6:R108,6,FALSE)),ROUND(VLOOKUP("5.1.1.3.2",A6:R108,6,FALSE),4),0) + IF(ISNUMBER(VLOOKUP("5.1.1.3.3",A6:R108,6,FALSE)),ROUND(VLOOKUP("5.1.1.3.3",A6:R108,6,FALSE),4),0)</f>
        <v>0</v>
      </c>
      <c r="G52" s="9">
        <f>IF(ISNUMBER(VLOOKUP("5.1.1.3.1",A6:R108,7,FALSE)),ROUND(VLOOKUP("5.1.1.3.1",A6:R108,7,FALSE),4),0) + IF(ISNUMBER(VLOOKUP("5.1.1.3.2",A6:R108,7,FALSE)),ROUND(VLOOKUP("5.1.1.3.2",A6:R108,7,FALSE),4),0) + IF(ISNUMBER(VLOOKUP("5.1.1.3.3",A6:R108,7,FALSE)),ROUND(VLOOKUP("5.1.1.3.3",A6:R108,7,FALSE),4),0)</f>
        <v>0</v>
      </c>
      <c r="H52" s="9">
        <f>IF(ISNUMBER(VLOOKUP("5.1.1.3.1",A6:R108,8,FALSE)),ROUND(VLOOKUP("5.1.1.3.1",A6:R108,8,FALSE),4),0) + IF(ISNUMBER(VLOOKUP("5.1.1.3.2",A6:R108,8,FALSE)),ROUND(VLOOKUP("5.1.1.3.2",A6:R108,8,FALSE),4),0) + IF(ISNUMBER(VLOOKUP("5.1.1.3.3",A6:R108,8,FALSE)),ROUND(VLOOKUP("5.1.1.3.3",A6:R108,8,FALSE),4),0)</f>
        <v>0</v>
      </c>
      <c r="I52" s="9">
        <f>IF(ISNUMBER(VLOOKUP("5.1.1.3.1",A6:R108,9,FALSE)),ROUND(VLOOKUP("5.1.1.3.1",A6:R108,9,FALSE),4),0) + IF(ISNUMBER(VLOOKUP("5.1.1.3.2",A6:R108,9,FALSE)),ROUND(VLOOKUP("5.1.1.3.2",A6:R108,9,FALSE),4),0) + IF(ISNUMBER(VLOOKUP("5.1.1.3.3",A6:R108,9,FALSE)),ROUND(VLOOKUP("5.1.1.3.3",A6:R108,9,FALSE),4),0)</f>
        <v>0</v>
      </c>
      <c r="J52" s="9">
        <f>IF(ISNUMBER(VLOOKUP("5.1.1.3.1",A6:R108,10,FALSE)),ROUND(VLOOKUP("5.1.1.3.1",A6:R108,10,FALSE),4),0) + IF(ISNUMBER(VLOOKUP("5.1.1.3.2",A6:R108,10,FALSE)),ROUND(VLOOKUP("5.1.1.3.2",A6:R108,10,FALSE),4),0) + IF(ISNUMBER(VLOOKUP("5.1.1.3.3",A6:R108,10,FALSE)),ROUND(VLOOKUP("5.1.1.3.3",A6:R108,10,FALSE),4),0)</f>
        <v>0</v>
      </c>
      <c r="K52" s="10">
        <f>IF(ISNUMBER(VLOOKUP("5.1.1.3.1",A6:R108,11,FALSE)),ROUND(VLOOKUP("5.1.1.3.1",A6:R108,11,FALSE),4),0) + IF(ISNUMBER(VLOOKUP("5.1.1.3.2",A6:R108,11,FALSE)),ROUND(VLOOKUP("5.1.1.3.2",A6:R108,11,FALSE),4),0) + IF(ISNUMBER(VLOOKUP("5.1.1.3.3",A6:R108,11,FALSE)),ROUND(VLOOKUP("5.1.1.3.3",A6:R108,11,FALSE),4),0)</f>
        <v>0</v>
      </c>
      <c r="L52" s="10">
        <f>IF(ISNUMBER(VLOOKUP("5.1.1.3.1",A6:R108,12,FALSE)),ROUND(VLOOKUP("5.1.1.3.1",A6:R108,12,FALSE),4),0) + IF(ISNUMBER(VLOOKUP("5.1.1.3.2",A6:R108,12,FALSE)),ROUND(VLOOKUP("5.1.1.3.2",A6:R108,12,FALSE),4),0) + IF(ISNUMBER(VLOOKUP("5.1.1.3.3",A6:R108,12,FALSE)),ROUND(VLOOKUP("5.1.1.3.3",A6:R108,12,FALSE),4),0)</f>
        <v>0</v>
      </c>
      <c r="M52" s="10">
        <f>IF(ISNUMBER(VLOOKUP("5.1.1.3.1",A6:R108,13,FALSE)),ROUND(VLOOKUP("5.1.1.3.1",A6:R108,13,FALSE),4),0) + IF(ISNUMBER(VLOOKUP("5.1.1.3.2",A6:R108,13,FALSE)),ROUND(VLOOKUP("5.1.1.3.2",A6:R108,13,FALSE),4),0) + IF(ISNUMBER(VLOOKUP("5.1.1.3.3",A6:R108,13,FALSE)),ROUND(VLOOKUP("5.1.1.3.3",A6:R108,13,FALSE),4),0)</f>
        <v>0</v>
      </c>
      <c r="N52" s="10">
        <f>IF(ISNUMBER(VLOOKUP("5.1.1.3.1",A6:R108,14,FALSE)),ROUND(VLOOKUP("5.1.1.3.1",A6:R108,14,FALSE),4),0) + IF(ISNUMBER(VLOOKUP("5.1.1.3.2",A6:R108,14,FALSE)),ROUND(VLOOKUP("5.1.1.3.2",A6:R108,14,FALSE),4),0) + IF(ISNUMBER(VLOOKUP("5.1.1.3.3",A6:R108,14,FALSE)),ROUND(VLOOKUP("5.1.1.3.3",A6:R108,14,FALSE),4),0)</f>
        <v>0</v>
      </c>
      <c r="O52" s="10">
        <f>IF(ISNUMBER(VLOOKUP("5.1.1.3.1",A6:R108,15,FALSE)),ROUND(VLOOKUP("5.1.1.3.1",A6:R108,15,FALSE),4),0) + IF(ISNUMBER(VLOOKUP("5.1.1.3.2",A6:R108,15,FALSE)),ROUND(VLOOKUP("5.1.1.3.2",A6:R108,15,FALSE),4),0) + IF(ISNUMBER(VLOOKUP("5.1.1.3.3",A6:R108,15,FALSE)),ROUND(VLOOKUP("5.1.1.3.3",A6:R108,15,FALSE),4),0)</f>
        <v>0</v>
      </c>
      <c r="P52" s="10">
        <f>IF(ISNUMBER(VLOOKUP("5.1.1.3.1",A6:R108,16,FALSE)),ROUND(VLOOKUP("5.1.1.3.1",A6:R108,16,FALSE),4),0) + IF(ISNUMBER(VLOOKUP("5.1.1.3.2",A6:R108,16,FALSE)),ROUND(VLOOKUP("5.1.1.3.2",A6:R108,16,FALSE),4),0) + IF(ISNUMBER(VLOOKUP("5.1.1.3.3",A6:R108,16,FALSE)),ROUND(VLOOKUP("5.1.1.3.3",A6:R108,16,FALSE),4),0)</f>
        <v>0</v>
      </c>
      <c r="Q52" s="10">
        <f>IF(ISNUMBER(VLOOKUP("5.1.1.3.1",A6:R108,17,FALSE)),ROUND(VLOOKUP("5.1.1.3.1",A6:R108,17,FALSE),4),0) + IF(ISNUMBER(VLOOKUP("5.1.1.3.2",A6:R108,17,FALSE)),ROUND(VLOOKUP("5.1.1.3.2",A6:R108,17,FALSE),4),0) + IF(ISNUMBER(VLOOKUP("5.1.1.3.3",A6:R108,17,FALSE)),ROUND(VLOOKUP("5.1.1.3.3",A6:R108,17,FALSE),4),0)</f>
        <v>0</v>
      </c>
      <c r="R52" s="10">
        <f>IF(ISNUMBER(VLOOKUP("5.1.1.3.1",A6:R108,18,FALSE)),ROUND(VLOOKUP("5.1.1.3.1",A6:R108,18,FALSE),4),0) + IF(ISNUMBER(VLOOKUP("5.1.1.3.2",A6:R108,18,FALSE)),ROUND(VLOOKUP("5.1.1.3.2",A6:R108,18,FALSE),4),0) + IF(ISNUMBER(VLOOKUP("5.1.1.3.3",A6:R108,18,FALSE)),ROUND(VLOOKUP("5.1.1.3.3",A6:R108,18,FALSE),4),0)</f>
        <v>0</v>
      </c>
    </row>
    <row r="53" spans="1:18" ht="30" customHeight="1" x14ac:dyDescent="0.3">
      <c r="A53" s="5" t="s">
        <v>105</v>
      </c>
      <c r="B53" s="6" t="s">
        <v>106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</row>
    <row r="54" spans="1:18" ht="30" customHeight="1" x14ac:dyDescent="0.3">
      <c r="A54" s="5" t="s">
        <v>107</v>
      </c>
      <c r="B54" s="6" t="s">
        <v>108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</row>
    <row r="55" spans="1:18" ht="30" customHeight="1" x14ac:dyDescent="0.3">
      <c r="A55" s="5" t="s">
        <v>109</v>
      </c>
      <c r="B55" s="6" t="s">
        <v>110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</row>
    <row r="56" spans="1:18" ht="30" customHeight="1" x14ac:dyDescent="0.3">
      <c r="A56" s="5" t="s">
        <v>111</v>
      </c>
      <c r="B56" s="6" t="s">
        <v>112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</row>
    <row r="57" spans="1:18" ht="30" customHeight="1" x14ac:dyDescent="0.3">
      <c r="A57" s="1" t="s">
        <v>113</v>
      </c>
      <c r="B57" s="2" t="s">
        <v>114</v>
      </c>
      <c r="C57" s="11">
        <v>0</v>
      </c>
      <c r="D57" s="11">
        <v>700000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ht="30" customHeight="1" x14ac:dyDescent="0.3">
      <c r="A58" s="1" t="s">
        <v>115</v>
      </c>
      <c r="B58" s="2" t="s">
        <v>116</v>
      </c>
      <c r="C58" s="3">
        <v>11025000</v>
      </c>
      <c r="D58" s="3">
        <v>8840000</v>
      </c>
      <c r="E58" s="3">
        <v>6520000</v>
      </c>
      <c r="F58" s="3">
        <v>5297500</v>
      </c>
      <c r="G58" s="3">
        <v>6575000</v>
      </c>
      <c r="H58" s="3">
        <v>9652500</v>
      </c>
      <c r="I58" s="3">
        <v>11230000</v>
      </c>
      <c r="J58" s="3">
        <v>11230000</v>
      </c>
      <c r="K58" s="4">
        <v>9670000</v>
      </c>
      <c r="L58" s="4">
        <v>8110000</v>
      </c>
      <c r="M58" s="4">
        <v>6625000</v>
      </c>
      <c r="N58" s="4">
        <v>5250000</v>
      </c>
      <c r="O58" s="4">
        <v>3875000</v>
      </c>
      <c r="P58" s="4">
        <v>2500000</v>
      </c>
      <c r="Q58" s="4">
        <v>1250000</v>
      </c>
      <c r="R58" s="4">
        <v>0</v>
      </c>
    </row>
    <row r="59" spans="1:18" ht="30" customHeight="1" x14ac:dyDescent="0.3">
      <c r="A59" s="5" t="s">
        <v>117</v>
      </c>
      <c r="B59" s="6" t="s">
        <v>118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</row>
    <row r="60" spans="1:18" ht="30" customHeight="1" x14ac:dyDescent="0.3">
      <c r="A60" s="1" t="s">
        <v>119</v>
      </c>
      <c r="B60" s="2" t="s">
        <v>120</v>
      </c>
      <c r="C60" s="29" t="s">
        <v>121</v>
      </c>
      <c r="D60" s="29" t="s">
        <v>121</v>
      </c>
      <c r="E60" s="29" t="s">
        <v>121</v>
      </c>
      <c r="F60" s="29" t="s">
        <v>121</v>
      </c>
      <c r="G60" s="29" t="s">
        <v>121</v>
      </c>
      <c r="H60" s="29" t="s">
        <v>121</v>
      </c>
      <c r="I60" s="29" t="s">
        <v>121</v>
      </c>
      <c r="J60" s="29" t="s">
        <v>121</v>
      </c>
      <c r="K60" s="30" t="s">
        <v>121</v>
      </c>
      <c r="L60" s="30" t="s">
        <v>121</v>
      </c>
      <c r="M60" s="30" t="s">
        <v>121</v>
      </c>
      <c r="N60" s="30" t="s">
        <v>121</v>
      </c>
      <c r="O60" s="30" t="s">
        <v>121</v>
      </c>
      <c r="P60" s="30" t="s">
        <v>121</v>
      </c>
      <c r="Q60" s="30" t="s">
        <v>121</v>
      </c>
      <c r="R60" s="30" t="s">
        <v>121</v>
      </c>
    </row>
    <row r="61" spans="1:18" ht="30" customHeight="1" x14ac:dyDescent="0.3">
      <c r="A61" s="5" t="s">
        <v>122</v>
      </c>
      <c r="B61" s="6" t="s">
        <v>123</v>
      </c>
      <c r="C61" s="9">
        <f>IF(ISNUMBER(VLOOKUP("1.1",A6:R108,3,FALSE)),ROUND(VLOOKUP("1.1",A6:R108,3,FALSE),4),0) - IF(ISNUMBER(VLOOKUP("2.1",A6:R108,3,FALSE)),ROUND(VLOOKUP("2.1",A6:R108,3,FALSE),4),0)</f>
        <v>3547100.3699999973</v>
      </c>
      <c r="D61" s="9">
        <f>IF(ISNUMBER(VLOOKUP("1.1",A6:R108,4,FALSE)),ROUND(VLOOKUP("1.1",A6:R108,4,FALSE),4),0) - IF(ISNUMBER(VLOOKUP("2.1",A6:R108,4,FALSE)),ROUND(VLOOKUP("2.1",A6:R108,4,FALSE),4),0)</f>
        <v>5895122.900000006</v>
      </c>
      <c r="E61" s="9">
        <f>IF(ISNUMBER(VLOOKUP("1.1",A6:R108,5,FALSE)),ROUND(VLOOKUP("1.1",A6:R108,5,FALSE),4),0) - IF(ISNUMBER(VLOOKUP("2.1",A6:R108,5,FALSE)),ROUND(VLOOKUP("2.1",A6:R108,5,FALSE),4),0)</f>
        <v>7436999.6300000101</v>
      </c>
      <c r="F61" s="9">
        <f>IF(ISNUMBER(VLOOKUP("1.1",A6:R108,6,FALSE)),ROUND(VLOOKUP("1.1",A6:R108,6,FALSE),4),0) - IF(ISNUMBER(VLOOKUP("2.1",A6:R108,6,FALSE)),ROUND(VLOOKUP("2.1",A6:R108,6,FALSE),4),0)</f>
        <v>6100887.8899999857</v>
      </c>
      <c r="G61" s="9">
        <f>IF(ISNUMBER(VLOOKUP("1.1",A6:R108,7,FALSE)),ROUND(VLOOKUP("1.1",A6:R108,7,FALSE),4),0) - IF(ISNUMBER(VLOOKUP("2.1",A6:R108,7,FALSE)),ROUND(VLOOKUP("2.1",A6:R108,7,FALSE),4),0)</f>
        <v>7674413.3100000024</v>
      </c>
      <c r="H61" s="9">
        <f>IF(ISNUMBER(VLOOKUP("1.1",A6:R108,8,FALSE)),ROUND(VLOOKUP("1.1",A6:R108,8,FALSE),4),0) - IF(ISNUMBER(VLOOKUP("2.1",A6:R108,8,FALSE)),ROUND(VLOOKUP("2.1",A6:R108,8,FALSE),4),0)</f>
        <v>2171527.599999994</v>
      </c>
      <c r="I61" s="9">
        <f>IF(ISNUMBER(VLOOKUP("1.1",A6:R108,9,FALSE)),ROUND(VLOOKUP("1.1",A6:R108,9,FALSE),4),0) - IF(ISNUMBER(VLOOKUP("2.1",A6:R108,9,FALSE)),ROUND(VLOOKUP("2.1",A6:R108,9,FALSE),4),0)</f>
        <v>8663856</v>
      </c>
      <c r="J61" s="9">
        <f>IF(ISNUMBER(VLOOKUP("1.1",A6:R108,10,FALSE)),ROUND(VLOOKUP("1.1",A6:R108,10,FALSE),4),0) - IF(ISNUMBER(VLOOKUP("2.1",A6:R108,10,FALSE)),ROUND(VLOOKUP("2.1",A6:R108,10,FALSE),4),0)</f>
        <v>13455579.38000001</v>
      </c>
      <c r="K61" s="10">
        <f>IF(ISNUMBER(VLOOKUP("1.1",A6:R108,11,FALSE)),ROUND(VLOOKUP("1.1",A6:R108,11,FALSE),4),0) - IF(ISNUMBER(VLOOKUP("2.1",A6:R108,11,FALSE)),ROUND(VLOOKUP("2.1",A6:R108,11,FALSE),4),0)</f>
        <v>6371770</v>
      </c>
      <c r="L61" s="10">
        <f>IF(ISNUMBER(VLOOKUP("1.1",A6:R108,12,FALSE)),ROUND(VLOOKUP("1.1",A6:R108,12,FALSE),4),0) - IF(ISNUMBER(VLOOKUP("2.1",A6:R108,12,FALSE)),ROUND(VLOOKUP("2.1",A6:R108,12,FALSE),4),0)</f>
        <v>7445341</v>
      </c>
      <c r="M61" s="10">
        <f>IF(ISNUMBER(VLOOKUP("1.1",A6:R108,13,FALSE)),ROUND(VLOOKUP("1.1",A6:R108,13,FALSE),4),0) - IF(ISNUMBER(VLOOKUP("2.1",A6:R108,13,FALSE)),ROUND(VLOOKUP("2.1",A6:R108,13,FALSE),4),0)</f>
        <v>8018281</v>
      </c>
      <c r="N61" s="10">
        <f>IF(ISNUMBER(VLOOKUP("1.1",A6:R108,14,FALSE)),ROUND(VLOOKUP("1.1",A6:R108,14,FALSE),4),0) - IF(ISNUMBER(VLOOKUP("2.1",A6:R108,14,FALSE)),ROUND(VLOOKUP("2.1",A6:R108,14,FALSE),4),0)</f>
        <v>8714499</v>
      </c>
      <c r="O61" s="10">
        <f>IF(ISNUMBER(VLOOKUP("1.1",A6:R108,15,FALSE)),ROUND(VLOOKUP("1.1",A6:R108,15,FALSE),4),0) - IF(ISNUMBER(VLOOKUP("2.1",A6:R108,15,FALSE)),ROUND(VLOOKUP("2.1",A6:R108,15,FALSE),4),0)</f>
        <v>9069478</v>
      </c>
      <c r="P61" s="10">
        <f>IF(ISNUMBER(VLOOKUP("1.1",A6:R108,16,FALSE)),ROUND(VLOOKUP("1.1",A6:R108,16,FALSE),4),0) - IF(ISNUMBER(VLOOKUP("2.1",A6:R108,16,FALSE)),ROUND(VLOOKUP("2.1",A6:R108,16,FALSE),4),0)</f>
        <v>9416715</v>
      </c>
      <c r="Q61" s="10">
        <f>IF(ISNUMBER(VLOOKUP("1.1",A6:R108,17,FALSE)),ROUND(VLOOKUP("1.1",A6:R108,17,FALSE),4),0) - IF(ISNUMBER(VLOOKUP("2.1",A6:R108,17,FALSE)),ROUND(VLOOKUP("2.1",A6:R108,17,FALSE),4),0)</f>
        <v>9765020</v>
      </c>
      <c r="R61" s="10">
        <f>IF(ISNUMBER(VLOOKUP("1.1",A6:R108,18,FALSE)),ROUND(VLOOKUP("1.1",A6:R108,18,FALSE),4),0) - IF(ISNUMBER(VLOOKUP("2.1",A6:R108,18,FALSE)),ROUND(VLOOKUP("2.1",A6:R108,18,FALSE),4),0)</f>
        <v>10094215</v>
      </c>
    </row>
    <row r="62" spans="1:18" ht="30" customHeight="1" x14ac:dyDescent="0.3">
      <c r="A62" s="5" t="s">
        <v>124</v>
      </c>
      <c r="B62" s="6" t="s">
        <v>125</v>
      </c>
      <c r="C62" s="9">
        <f>IF(ISNUMBER(VLOOKUP("1.1",A6:R108,3,FALSE)),ROUND(VLOOKUP("1.1",A6:R108,3,FALSE),4),0) - IF(ISNUMBER(VLOOKUP("2.1",A6:R108,3,FALSE)),ROUND(VLOOKUP("2.1",A6:R108,3,FALSE),4),0) + IF(ISNUMBER(VLOOKUP("4.2",A6:R108,3,FALSE)),ROUND(VLOOKUP("4.2",A6:R108,3,FALSE),4),0) + IF(ISNUMBER(VLOOKUP("4.3",A6:R108,3,FALSE)),ROUND(VLOOKUP("4.3",A6:R108,3,FALSE),4),0)</f>
        <v>3625826.2499999972</v>
      </c>
      <c r="D62" s="9">
        <f>IF(ISNUMBER(VLOOKUP("1.1",A6:R108,4,FALSE)),ROUND(VLOOKUP("1.1",A6:R108,4,FALSE),4),0) - IF(ISNUMBER(VLOOKUP("2.1",A6:R108,4,FALSE)),ROUND(VLOOKUP("2.1",A6:R108,4,FALSE),4),0) + IF(ISNUMBER(VLOOKUP("4.2",A6:R108,4,FALSE)),ROUND(VLOOKUP("4.2",A6:R108,4,FALSE),4),0) + IF(ISNUMBER(VLOOKUP("4.3",A6:R108,4,FALSE)),ROUND(VLOOKUP("4.3",A6:R108,4,FALSE),4),0)</f>
        <v>7681061.900000006</v>
      </c>
      <c r="E62" s="9">
        <f>IF(ISNUMBER(VLOOKUP("1.1",A6:R108,5,FALSE)),ROUND(VLOOKUP("1.1",A6:R108,5,FALSE),4),0) - IF(ISNUMBER(VLOOKUP("2.1",A6:R108,5,FALSE)),ROUND(VLOOKUP("2.1",A6:R108,5,FALSE),4),0) + IF(ISNUMBER(VLOOKUP("4.2",A6:R108,5,FALSE)),ROUND(VLOOKUP("4.2",A6:R108,5,FALSE),4),0) + IF(ISNUMBER(VLOOKUP("4.3",A6:R108,5,FALSE)),ROUND(VLOOKUP("4.3",A6:R108,5,FALSE),4),0)</f>
        <v>8596999.6300000101</v>
      </c>
      <c r="F62" s="9">
        <f>IF(ISNUMBER(VLOOKUP("1.1",A6:R108,6,FALSE)),ROUND(VLOOKUP("1.1",A6:R108,6,FALSE),4),0) - IF(ISNUMBER(VLOOKUP("2.1",A6:R108,6,FALSE)),ROUND(VLOOKUP("2.1",A6:R108,6,FALSE),4),0) + IF(ISNUMBER(VLOOKUP("4.2",A6:R108,6,FALSE)),ROUND(VLOOKUP("4.2",A6:R108,6,FALSE),4),0) + IF(ISNUMBER(VLOOKUP("4.3",A6:R108,6,FALSE)),ROUND(VLOOKUP("4.3",A6:R108,6,FALSE),4),0)</f>
        <v>14078758.779999986</v>
      </c>
      <c r="G62" s="9">
        <f>IF(ISNUMBER(VLOOKUP("1.1",A6:R108,7,FALSE)),ROUND(VLOOKUP("1.1",A6:R108,7,FALSE),4),0) - IF(ISNUMBER(VLOOKUP("2.1",A6:R108,7,FALSE)),ROUND(VLOOKUP("2.1",A6:R108,7,FALSE),4),0) + IF(ISNUMBER(VLOOKUP("4.2",A6:R108,7,FALSE)),ROUND(VLOOKUP("4.2",A6:R108,7,FALSE),4),0) + IF(ISNUMBER(VLOOKUP("4.3",A6:R108,7,FALSE)),ROUND(VLOOKUP("4.3",A6:R108,7,FALSE),4),0) + IF(ISNUMBER(VLOOKUP("4.4",A6:R108,7,FALSE)),ROUND(VLOOKUP("4.4",A6:R108,7,FALSE),4),0)</f>
        <v>20907561.740000002</v>
      </c>
      <c r="H62" s="9">
        <f>IF(ISNUMBER(VLOOKUP("1.1",A6:R108,8,FALSE)),ROUND(VLOOKUP("1.1",A6:R108,8,FALSE),4),0) - IF(ISNUMBER(VLOOKUP("2.1",A6:R108,8,FALSE)),ROUND(VLOOKUP("2.1",A6:R108,8,FALSE),4),0) + IF(ISNUMBER(VLOOKUP("4.2",A6:R108,8,FALSE)),ROUND(VLOOKUP("4.2",A6:R108,8,FALSE),4),0) + IF(ISNUMBER(VLOOKUP("4.3",A6:R108,8,FALSE)),ROUND(VLOOKUP("4.3",A6:R108,8,FALSE),4),0) + IF(ISNUMBER(VLOOKUP("4.4",A6:R108,8,FALSE)),ROUND(VLOOKUP("4.4",A6:R108,8,FALSE),4),0)</f>
        <v>15404676.029999994</v>
      </c>
      <c r="I62" s="9">
        <f>IF(ISNUMBER(VLOOKUP("1.1",A6:R108,9,FALSE)),ROUND(VLOOKUP("1.1",A6:R108,9,FALSE),4),0) - IF(ISNUMBER(VLOOKUP("2.1",A6:R108,9,FALSE)),ROUND(VLOOKUP("2.1",A6:R108,9,FALSE),4),0) + IF(ISNUMBER(VLOOKUP("4.2",A6:R108,9,FALSE)),ROUND(VLOOKUP("4.2",A6:R108,9,FALSE),4),0) + IF(ISNUMBER(VLOOKUP("4.3",A6:R108,9,FALSE)),ROUND(VLOOKUP("4.3",A6:R108,9,FALSE),4),0) + IF(ISNUMBER(VLOOKUP("4.4",A6:R108,9,FALSE)),ROUND(VLOOKUP("4.4",A6:R108,9,FALSE),4),0)</f>
        <v>8663856</v>
      </c>
      <c r="J62" s="9">
        <f>IF(ISNUMBER(VLOOKUP("1.1",A6:R108,10,FALSE)),ROUND(VLOOKUP("1.1",A6:R108,10,FALSE),4),0) - IF(ISNUMBER(VLOOKUP("2.1",A6:R108,10,FALSE)),ROUND(VLOOKUP("2.1",A6:R108,10,FALSE),4),0) + IF(ISNUMBER(VLOOKUP("4.2",A6:R108,10,FALSE)),ROUND(VLOOKUP("4.2",A6:R108,10,FALSE),4),0) + IF(ISNUMBER(VLOOKUP("4.3",A6:R108,10,FALSE)),ROUND(VLOOKUP("4.3",A6:R108,10,FALSE),4),0) + IF(ISNUMBER(VLOOKUP("4.4",A6:R108,10,FALSE)),ROUND(VLOOKUP("4.4",A6:R108,10,FALSE),4),0)</f>
        <v>23081081.110000011</v>
      </c>
      <c r="K62" s="10">
        <f>IF(ISNUMBER(VLOOKUP("1.1",A6:R108,11,FALSE)),ROUND(VLOOKUP("1.1",A6:R108,11,FALSE),4),0) - IF(ISNUMBER(VLOOKUP("2.1",A6:R108,11,FALSE)),ROUND(VLOOKUP("2.1",A6:R108,11,FALSE),4),0) + IF(ISNUMBER(VLOOKUP("4.2",A6:R108,11,FALSE)),ROUND(VLOOKUP("4.2",A6:R108,11,FALSE),4),0) + IF(ISNUMBER(VLOOKUP("4.3",A6:R108,11,FALSE)),ROUND(VLOOKUP("4.3",A6:R108,11,FALSE),4),0) + IF(ISNUMBER(VLOOKUP("4.4",A6:R108,11,FALSE)),ROUND(VLOOKUP("4.4",A6:R108,11,FALSE),4),0)</f>
        <v>7648765</v>
      </c>
      <c r="L62" s="10">
        <f>IF(ISNUMBER(VLOOKUP("1.1",A6:R108,12,FALSE)),ROUND(VLOOKUP("1.1",A6:R108,12,FALSE),4),0) - IF(ISNUMBER(VLOOKUP("2.1",A6:R108,12,FALSE)),ROUND(VLOOKUP("2.1",A6:R108,12,FALSE),4),0) + IF(ISNUMBER(VLOOKUP("4.2",A6:R108,12,FALSE)),ROUND(VLOOKUP("4.2",A6:R108,12,FALSE),4),0) + IF(ISNUMBER(VLOOKUP("4.3",A6:R108,12,FALSE)),ROUND(VLOOKUP("4.3",A6:R108,12,FALSE),4),0) + IF(ISNUMBER(VLOOKUP("4.4",A6:R108,12,FALSE)),ROUND(VLOOKUP("4.4",A6:R108,12,FALSE),4),0)</f>
        <v>7445341</v>
      </c>
      <c r="M62" s="10">
        <f>IF(ISNUMBER(VLOOKUP("1.1",A6:R108,13,FALSE)),ROUND(VLOOKUP("1.1",A6:R108,13,FALSE),4),0) - IF(ISNUMBER(VLOOKUP("2.1",A6:R108,13,FALSE)),ROUND(VLOOKUP("2.1",A6:R108,13,FALSE),4),0) + IF(ISNUMBER(VLOOKUP("4.2",A6:R108,13,FALSE)),ROUND(VLOOKUP("4.2",A6:R108,13,FALSE),4),0) + IF(ISNUMBER(VLOOKUP("4.3",A6:R108,13,FALSE)),ROUND(VLOOKUP("4.3",A6:R108,13,FALSE),4),0) + IF(ISNUMBER(VLOOKUP("4.4",A6:R108,13,FALSE)),ROUND(VLOOKUP("4.4",A6:R108,13,FALSE),4),0)</f>
        <v>8018281</v>
      </c>
      <c r="N62" s="10">
        <f>IF(ISNUMBER(VLOOKUP("1.1",A6:R108,14,FALSE)),ROUND(VLOOKUP("1.1",A6:R108,14,FALSE),4),0) - IF(ISNUMBER(VLOOKUP("2.1",A6:R108,14,FALSE)),ROUND(VLOOKUP("2.1",A6:R108,14,FALSE),4),0) + IF(ISNUMBER(VLOOKUP("4.2",A6:R108,14,FALSE)),ROUND(VLOOKUP("4.2",A6:R108,14,FALSE),4),0) + IF(ISNUMBER(VLOOKUP("4.3",A6:R108,14,FALSE)),ROUND(VLOOKUP("4.3",A6:R108,14,FALSE),4),0) + IF(ISNUMBER(VLOOKUP("4.4",A6:R108,14,FALSE)),ROUND(VLOOKUP("4.4",A6:R108,14,FALSE),4),0)</f>
        <v>8714499</v>
      </c>
      <c r="O62" s="10">
        <f>IF(ISNUMBER(VLOOKUP("1.1",A6:R108,15,FALSE)),ROUND(VLOOKUP("1.1",A6:R108,15,FALSE),4),0) - IF(ISNUMBER(VLOOKUP("2.1",A6:R108,15,FALSE)),ROUND(VLOOKUP("2.1",A6:R108,15,FALSE),4),0) + IF(ISNUMBER(VLOOKUP("4.2",A6:R108,15,FALSE)),ROUND(VLOOKUP("4.2",A6:R108,15,FALSE),4),0) + IF(ISNUMBER(VLOOKUP("4.3",A6:R108,15,FALSE)),ROUND(VLOOKUP("4.3",A6:R108,15,FALSE),4),0) + IF(ISNUMBER(VLOOKUP("4.4",A6:R108,15,FALSE)),ROUND(VLOOKUP("4.4",A6:R108,15,FALSE),4),0)</f>
        <v>9069478</v>
      </c>
      <c r="P62" s="10">
        <f>IF(ISNUMBER(VLOOKUP("1.1",A6:R108,16,FALSE)),ROUND(VLOOKUP("1.1",A6:R108,16,FALSE),4),0) - IF(ISNUMBER(VLOOKUP("2.1",A6:R108,16,FALSE)),ROUND(VLOOKUP("2.1",A6:R108,16,FALSE),4),0) + IF(ISNUMBER(VLOOKUP("4.2",A6:R108,16,FALSE)),ROUND(VLOOKUP("4.2",A6:R108,16,FALSE),4),0) + IF(ISNUMBER(VLOOKUP("4.4",A6:R108,16,FALSE)),ROUND(VLOOKUP("4.4",A6:R108,16,FALSE),4),0)</f>
        <v>9416715</v>
      </c>
      <c r="Q62" s="10">
        <f>IF(ISNUMBER(VLOOKUP("1.1",A6:R108,17,FALSE)),ROUND(VLOOKUP("1.1",A6:R108,17,FALSE),4),0) - IF(ISNUMBER(VLOOKUP("2.1",A6:R108,17,FALSE)),ROUND(VLOOKUP("2.1",A6:R108,17,FALSE),4),0) + IF(ISNUMBER(VLOOKUP("4.2",A6:R108,17,FALSE)),ROUND(VLOOKUP("4.2",A6:R108,17,FALSE),4),0) + IF(ISNUMBER(VLOOKUP("4.4",A6:R108,17,FALSE)),ROUND(VLOOKUP("4.4",A6:R108,17,FALSE),4),0)</f>
        <v>9765020</v>
      </c>
      <c r="R62" s="10">
        <f>IF(ISNUMBER(VLOOKUP("1.1",A6:R108,18,FALSE)),ROUND(VLOOKUP("1.1",A6:R108,18,FALSE),4),0) - IF(ISNUMBER(VLOOKUP("2.1",A6:R108,18,FALSE)),ROUND(VLOOKUP("2.1",A6:R108,18,FALSE),4),0) + IF(ISNUMBER(VLOOKUP("4.2",A6:R108,18,FALSE)),ROUND(VLOOKUP("4.2",A6:R108,18,FALSE),4),0) + IF(ISNUMBER(VLOOKUP("4.4",A6:R108,18,FALSE)),ROUND(VLOOKUP("4.4",A6:R108,18,FALSE),4),0)</f>
        <v>10094215</v>
      </c>
    </row>
    <row r="63" spans="1:18" ht="41.25" customHeight="1" x14ac:dyDescent="0.3">
      <c r="A63" s="5" t="s">
        <v>126</v>
      </c>
      <c r="B63" s="6" t="s">
        <v>127</v>
      </c>
      <c r="C63" s="9">
        <f>IF(ISNUMBER(VLOOKUP("7.2",A6:R108,3,FALSE)),ROUND(VLOOKUP("7.2",A6:R108,3,FALSE),4),0) + IF(ISNUMBER(VLOOKUP("10.11.x",A6:R108,3,FALSE)),ROUND(VLOOKUP("10.11.x",A6:R108,3,FALSE),4),0)</f>
        <v>3625826.25</v>
      </c>
      <c r="D63" s="9">
        <f>IF(ISNUMBER(VLOOKUP("7.2",A6:R108,4,FALSE)),ROUND(VLOOKUP("7.2",A6:R108,4,FALSE),4),0) + IF(ISNUMBER(VLOOKUP("10.11.x",A6:R108,4,FALSE)),ROUND(VLOOKUP("10.11.x",A6:R108,4,FALSE),4),0)</f>
        <v>7681061.9000000004</v>
      </c>
      <c r="E63" s="9">
        <f>IF(ISNUMBER(VLOOKUP("7.2",A6:R108,5,FALSE)),ROUND(VLOOKUP("7.2",A6:R108,5,FALSE),4),0) + IF(ISNUMBER(VLOOKUP("10.11.x",A6:R108,5,FALSE)),ROUND(VLOOKUP("10.11.x",A6:R108,5,FALSE),4),0)</f>
        <v>8596999.6300000008</v>
      </c>
      <c r="F63" s="9">
        <f>IF(ISNUMBER(VLOOKUP("7.2",A6:R108,6,FALSE)),ROUND(VLOOKUP("7.2",A6:R108,6,FALSE),4),0) + IF(ISNUMBER(VLOOKUP("10.11.x",A6:R108,6,FALSE)),ROUND(VLOOKUP("10.11.x",A6:R108,6,FALSE),4),0)</f>
        <v>14078758.779999999</v>
      </c>
      <c r="G63" s="9">
        <f>IF(ISNUMBER(VLOOKUP("7.2",A6:R108,7,FALSE)),ROUND(VLOOKUP("7.2",A6:R108,7,FALSE),4),0) + IF(ISNUMBER(VLOOKUP("10.11.x",A6:R108,7,FALSE)),ROUND(VLOOKUP("10.11.x",A6:R108,7,FALSE),4),0)</f>
        <v>20907561.739999998</v>
      </c>
      <c r="H63" s="9">
        <f>IF(ISNUMBER(VLOOKUP("7.2",A6:R108,8,FALSE)),ROUND(VLOOKUP("7.2",A6:R108,8,FALSE),4),0) + IF(ISNUMBER(VLOOKUP("10.11.x",A6:R108,8,FALSE)),ROUND(VLOOKUP("10.11.x",A6:R108,8,FALSE),4),0)</f>
        <v>15404676.029999999</v>
      </c>
      <c r="I63" s="9">
        <f>IF(ISNUMBER(VLOOKUP("7.2",A6:R108,9,FALSE)),ROUND(VLOOKUP("7.2",A6:R108,9,FALSE),4),0) + IF(ISNUMBER(VLOOKUP("10.11.x",A6:R108,9,FALSE)),ROUND(VLOOKUP("10.11.x",A6:R108,9,FALSE),4),0)</f>
        <v>8663856</v>
      </c>
      <c r="J63" s="9">
        <f>IF(ISNUMBER(VLOOKUP("7.2",A6:R108,10,FALSE)),ROUND(VLOOKUP("7.2",A6:R108,10,FALSE),4),0) + IF(ISNUMBER(VLOOKUP("10.11.x",A6:R108,10,FALSE)),ROUND(VLOOKUP("10.11.x",A6:R108,10,FALSE),4),0)</f>
        <v>23081081.109999999</v>
      </c>
      <c r="K63" s="10">
        <f>IF(ISNUMBER(VLOOKUP("7.2",A6:R108,11,FALSE)),ROUND(VLOOKUP("7.2",A6:R108,11,FALSE),4),0) + IF(ISNUMBER(VLOOKUP("10.11.x",A6:R108,11,FALSE)),ROUND(VLOOKUP("10.11.x",A6:R108,11,FALSE),4),0)</f>
        <v>7648765</v>
      </c>
      <c r="L63" s="10">
        <f>IF(ISNUMBER(VLOOKUP("7.2",A6:R108,12,FALSE)),ROUND(VLOOKUP("7.2",A6:R108,12,FALSE),4),0) + IF(ISNUMBER(VLOOKUP("10.11.x",A6:R108,12,FALSE)),ROUND(VLOOKUP("10.11.x",A6:R108,12,FALSE),4),0)</f>
        <v>7445341</v>
      </c>
      <c r="M63" s="10">
        <f>IF(ISNUMBER(VLOOKUP("7.2",A6:R108,13,FALSE)),ROUND(VLOOKUP("7.2",A6:R108,13,FALSE),4),0) + IF(ISNUMBER(VLOOKUP("10.11.x",A6:R108,13,FALSE)),ROUND(VLOOKUP("10.11.x",A6:R108,13,FALSE),4),0)</f>
        <v>8018281</v>
      </c>
      <c r="N63" s="10">
        <f>IF(ISNUMBER(VLOOKUP("7.2",A6:R108,14,FALSE)),ROUND(VLOOKUP("7.2",A6:R108,14,FALSE),4),0) + IF(ISNUMBER(VLOOKUP("10.11.x",A6:R108,14,FALSE)),ROUND(VLOOKUP("10.11.x",A6:R108,14,FALSE),4),0)</f>
        <v>8714499</v>
      </c>
      <c r="O63" s="10">
        <f>IF(ISNUMBER(VLOOKUP("7.2",A6:R108,15,FALSE)),ROUND(VLOOKUP("7.2",A6:R108,15,FALSE),4),0) + IF(ISNUMBER(VLOOKUP("10.11.x",A6:R108,15,FALSE)),ROUND(VLOOKUP("10.11.x",A6:R108,15,FALSE),4),0)</f>
        <v>9069478</v>
      </c>
      <c r="P63" s="10">
        <f>IF(ISNUMBER(VLOOKUP("7.2",A6:R108,16,FALSE)),ROUND(VLOOKUP("7.2",A6:R108,16,FALSE),4),0) + IF(ISNUMBER(VLOOKUP("10.11.x",A6:R108,16,FALSE)),ROUND(VLOOKUP("10.11.x",A6:R108,16,FALSE),4),0)</f>
        <v>9416715</v>
      </c>
      <c r="Q63" s="10">
        <f>IF(ISNUMBER(VLOOKUP("7.2",A6:R108,17,FALSE)),ROUND(VLOOKUP("7.2",A6:R108,17,FALSE),4),0) + IF(ISNUMBER(VLOOKUP("10.11.x",A6:R108,17,FALSE)),ROUND(VLOOKUP("10.11.x",A6:R108,17,FALSE),4),0)</f>
        <v>9765020</v>
      </c>
      <c r="R63" s="10">
        <f>IF(ISNUMBER(VLOOKUP("7.2",A6:R108,18,FALSE)),ROUND(VLOOKUP("7.2",A6:R108,18,FALSE),4),0) + IF(ISNUMBER(VLOOKUP("10.11.x",A6:R108,18,FALSE)),ROUND(VLOOKUP("10.11.x",A6:R108,18,FALSE),4),0)</f>
        <v>10094215</v>
      </c>
    </row>
    <row r="64" spans="1:18" ht="30" customHeight="1" x14ac:dyDescent="0.3">
      <c r="A64" s="1" t="s">
        <v>128</v>
      </c>
      <c r="B64" s="2" t="s">
        <v>129</v>
      </c>
      <c r="C64" s="29" t="s">
        <v>121</v>
      </c>
      <c r="D64" s="29" t="s">
        <v>121</v>
      </c>
      <c r="E64" s="29" t="s">
        <v>121</v>
      </c>
      <c r="F64" s="29" t="s">
        <v>121</v>
      </c>
      <c r="G64" s="29" t="s">
        <v>121</v>
      </c>
      <c r="H64" s="29" t="s">
        <v>121</v>
      </c>
      <c r="I64" s="29" t="s">
        <v>121</v>
      </c>
      <c r="J64" s="29" t="s">
        <v>121</v>
      </c>
      <c r="K64" s="30" t="s">
        <v>121</v>
      </c>
      <c r="L64" s="30" t="s">
        <v>121</v>
      </c>
      <c r="M64" s="30" t="s">
        <v>121</v>
      </c>
      <c r="N64" s="30" t="s">
        <v>121</v>
      </c>
      <c r="O64" s="30" t="s">
        <v>121</v>
      </c>
      <c r="P64" s="30" t="s">
        <v>121</v>
      </c>
      <c r="Q64" s="30" t="s">
        <v>121</v>
      </c>
      <c r="R64" s="30" t="s">
        <v>121</v>
      </c>
    </row>
    <row r="65" spans="1:18" ht="51" customHeight="1" x14ac:dyDescent="0.3">
      <c r="A65" s="13" t="s">
        <v>130</v>
      </c>
      <c r="B65" s="14" t="s">
        <v>131</v>
      </c>
      <c r="C65" s="15">
        <f>(IF(ISNUMBER(VLOOKUP("5.1",A6:R108,3,FALSE)),ROUND(VLOOKUP("5.1",A6:R108,3,FALSE),4),0) - IF(ISNUMBER(VLOOKUP("5.1.1",A6:R108,3,FALSE)),ROUND(VLOOKUP("5.1.1",A6:R108,3,FALSE),4),0) + IF(ISNUMBER(VLOOKUP("10.7.2.1",A6:R108,3,FALSE)),ROUND(VLOOKUP("10.7.2.1",A6:R108,3,FALSE),4),0) - IF(ISNUMBER(VLOOKUP("10.9",A6:R108,3,FALSE)),ROUND(VLOOKUP("10.9",A6:R108,3,FALSE),4),0) + IF(ISNUMBER(VLOOKUP("2.1.2",A6:R108,3,FALSE)),ROUND(VLOOKUP("2.1.2",A6:R108,3,FALSE),4),0) - IF(ISNUMBER(VLOOKUP("2.1.2.1",A6:R108,3,FALSE)),ROUND(VLOOKUP("2.1.2.1",A6:R108,3,FALSE),4),0) + IF(ISNUMBER(VLOOKUP("2.1.3",A6:R108,3,FALSE)),ROUND(VLOOKUP("2.1.3",A6:R108,3,FALSE),4),0) - (IF(ISNUMBER(VLOOKUP("2.1.3.1",A6:R108,3,FALSE)),ROUND(VLOOKUP("2.1.3.1",A6:R108,3,FALSE),4),0) + IF(ISNUMBER(VLOOKUP("2.1.3.2",A6:R108,3,FALSE)),ROUND(VLOOKUP("2.1.3.2",A6:R108,3,FALSE),4),0) + IF(ISNA(VLOOKUP("2.1.3.3",A6:R108,3,FALSE)),0,ROUND(VLOOKUP("2.1.3.3",A6:R108,3,FALSE),4))) + IF(ISNUMBER(VLOOKUP("10.4",A6:R108,3,FALSE)),ROUND(VLOOKUP("10.4",A6:R108,3,FALSE),4),0))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4.0722790897675575E-2</v>
      </c>
      <c r="D65" s="15">
        <f>(IF(ISNUMBER(VLOOKUP("5.1",A6:R108,4,FALSE)),ROUND(VLOOKUP("5.1",A6:R108,4,FALSE),4),0) - IF(ISNUMBER(VLOOKUP("5.1.1",A6:R108,4,FALSE)),ROUND(VLOOKUP("5.1.1",A6:R108,4,FALSE),4),0) + IF(ISNUMBER(VLOOKUP("10.7.2.1",A6:R108,4,FALSE)),ROUND(VLOOKUP("10.7.2.1",A6:R108,4,FALSE),4),0) - IF(ISNUMBER(VLOOKUP("10.9",A6:R108,4,FALSE)),ROUND(VLOOKUP("10.9",A6:R108,4,FALSE),4),0) + IF(ISNUMBER(VLOOKUP("2.1.2",A6:R108,4,FALSE)),ROUND(VLOOKUP("2.1.2",A6:R108,4,FALSE),4),0) - IF(ISNUMBER(VLOOKUP("2.1.2.1",A6:R108,4,FALSE)),ROUND(VLOOKUP("2.1.2.1",A6:R108,4,FALSE),4),0) + IF(ISNUMBER(VLOOKUP("2.1.3",A6:R108,4,FALSE)),ROUND(VLOOKUP("2.1.3",A6:R108,4,FALSE),4),0) - (IF(ISNUMBER(VLOOKUP("2.1.3.1",A6:R108,4,FALSE)),ROUND(VLOOKUP("2.1.3.1",A6:R108,4,FALSE),4),0) + IF(ISNUMBER(VLOOKUP("2.1.3.2",A6:R108,4,FALSE)),ROUND(VLOOKUP("2.1.3.2",A6:R108,4,FALSE),4),0) + IF(ISNA(VLOOKUP("2.1.3.3",A6:R108,4,FALSE)),0,ROUND(VLOOKUP("2.1.3.3",A6:R108,4,FALSE),4))) + IF(ISNUMBER(VLOOKUP("10.4",A6:R108,4,FALSE)),ROUND(VLOOKUP("10.4",A6:R108,4,FALSE),4),0))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4.1544367747558368E-2</v>
      </c>
      <c r="E65" s="15">
        <f>(IF(ISNUMBER(VLOOKUP("5.1",A6:R108,5,FALSE)),ROUND(VLOOKUP("5.1",A6:R108,5,FALSE),4),0) - IF(ISNUMBER(VLOOKUP("5.1.1",A6:R108,5,FALSE)),ROUND(VLOOKUP("5.1.1",A6:R108,5,FALSE),4),0) + IF(ISNUMBER(VLOOKUP("10.7.2.1",A6:R108,5,FALSE)),ROUND(VLOOKUP("10.7.2.1",A6:R108,5,FALSE),4),0) - IF(ISNUMBER(VLOOKUP("10.9",A6:R108,5,FALSE)),ROUND(VLOOKUP("10.9",A6:R108,5,FALSE),4),0) + IF(ISNUMBER(VLOOKUP("2.1.2",A6:R108,5,FALSE)),ROUND(VLOOKUP("2.1.2",A6:R108,5,FALSE),4),0) - IF(ISNUMBER(VLOOKUP("2.1.2.1",A6:R108,5,FALSE)),ROUND(VLOOKUP("2.1.2.1",A6:R108,5,FALSE),4),0) + IF(ISNUMBER(VLOOKUP("2.1.3",A6:R108,5,FALSE)),ROUND(VLOOKUP("2.1.3",A6:R108,5,FALSE),4),0) - (IF(ISNUMBER(VLOOKUP("2.1.3.1",A6:R108,5,FALSE)),ROUND(VLOOKUP("2.1.3.1",A6:R108,5,FALSE),4),0) + IF(ISNUMBER(VLOOKUP("2.1.3.2",A6:R108,5,FALSE)),ROUND(VLOOKUP("2.1.3.2",A6:R108,5,FALSE),4),0) + IF(ISNA(VLOOKUP("2.1.3.3",A6:R108,5,FALSE)),0,ROUND(VLOOKUP("2.1.3.3",A6:R108,5,FALSE),4))) + IF(ISNUMBER(VLOOKUP("10.4",A6:R108,5,FALSE)),ROUND(VLOOKUP("10.4",A6:R108,5,FALSE),4),0))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3.8480696896784218E-2</v>
      </c>
      <c r="F65" s="15">
        <f>(IF(ISNUMBER(VLOOKUP("5.1",A6:R108,6,FALSE)),ROUND(VLOOKUP("5.1",A6:R108,6,FALSE),4),0) - IF(ISNUMBER(VLOOKUP("5.1.1",A6:R108,6,FALSE)),ROUND(VLOOKUP("5.1.1",A6:R108,6,FALSE),4),0) + IF(ISNUMBER(VLOOKUP("10.7.2.1",A6:R108,6,FALSE)),ROUND(VLOOKUP("10.7.2.1",A6:R108,6,FALSE),4),0) - IF(ISNUMBER(VLOOKUP("10.9",A6:R108,6,FALSE)),ROUND(VLOOKUP("10.9",A6:R108,6,FALSE),4),0) + IF(ISNUMBER(VLOOKUP("2.1.2",A6:R108,6,FALSE)),ROUND(VLOOKUP("2.1.2",A6:R108,6,FALSE),4),0) - IF(ISNUMBER(VLOOKUP("2.1.2.1",A6:R108,6,FALSE)),ROUND(VLOOKUP("2.1.2.1",A6:R108,6,FALSE),4),0) + IF(ISNUMBER(VLOOKUP("2.1.3",A6:R108,6,FALSE)),ROUND(VLOOKUP("2.1.3",A6:R108,6,FALSE),4),0) - (IF(ISNUMBER(VLOOKUP("2.1.3.1",A6:R108,6,FALSE)),ROUND(VLOOKUP("2.1.3.1",A6:R108,6,FALSE),4),0) + IF(ISNUMBER(VLOOKUP("2.1.3.2",A6:R108,6,FALSE)),ROUND(VLOOKUP("2.1.3.2",A6:R108,6,FALSE),4),0) + IF(ISNA(VLOOKUP("2.1.3.3",A6:R108,6,FALSE)),0,ROUND(VLOOKUP("2.1.3.3",A6:R108,6,FALSE),4))) + IF(ISNUMBER(VLOOKUP("10.4",A6:R108,6,FALSE)),ROUND(VLOOKUP("10.4",A6:R108,6,FALSE),4),0))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1.9500049832200481E-2</v>
      </c>
      <c r="G65" s="15">
        <f>(IF(ISNUMBER(VLOOKUP("5.1",A6:R108,7,FALSE)),ROUND(VLOOKUP("5.1",A6:R108,7,FALSE),4),0) - IF(ISNUMBER(VLOOKUP("5.1.1",A6:R108,7,FALSE)),ROUND(VLOOKUP("5.1.1",A6:R108,7,FALSE),4),0) + IF(ISNUMBER(VLOOKUP("10.7.2.1",A6:R108,7,FALSE)),ROUND(VLOOKUP("10.7.2.1",A6:R108,7,FALSE),4),0) - IF(ISNUMBER(VLOOKUP("10.9",A6:R108,7,FALSE)),ROUND(VLOOKUP("10.9",A6:R108,7,FALSE),4),0) + IF(ISNUMBER(VLOOKUP("2.1.2",A6:R108,7,FALSE)),ROUND(VLOOKUP("2.1.2",A6:R108,7,FALSE),4),0) - IF(ISNUMBER(VLOOKUP("2.1.2.1",A6:R108,7,FALSE)),ROUND(VLOOKUP("2.1.2.1",A6:R108,7,FALSE),4),0) + IF(ISNUMBER(VLOOKUP("2.1.3",A6:R108,7,FALSE)),ROUND(VLOOKUP("2.1.3",A6:R108,7,FALSE),4),0) - (IF(ISNUMBER(VLOOKUP("2.1.3.1",A6:R108,7,FALSE)),ROUND(VLOOKUP("2.1.3.1",A6:R108,7,FALSE),4),0) + IF(ISNUMBER(VLOOKUP("2.1.3.2",A6:R108,7,FALSE)),ROUND(VLOOKUP("2.1.3.2",A6:R108,7,FALSE),4),0) + IF(ISNA(VLOOKUP("2.1.3.3",A6:R108,7,FALSE)),0,ROUND(VLOOKUP("2.1.3.3",A6:R108,7,FALSE),4))) + IF(ISNUMBER(VLOOKUP("10.4",A6:R108,7,FALSE)),ROUND(VLOOKUP("10.4",A6:R108,7,FALSE),4),0))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2.047655251269247E-2</v>
      </c>
      <c r="H65" s="15">
        <f>(IF(ISNUMBER(VLOOKUP("5.1",A6:R108,8,FALSE)),ROUND(VLOOKUP("5.1",A6:R108,8,FALSE),4),0) - IF(ISNUMBER(VLOOKUP("5.1.1",A6:R108,8,FALSE)),ROUND(VLOOKUP("5.1.1",A6:R108,8,FALSE),4),0) + IF(ISNUMBER(VLOOKUP("10.7.2.1",A6:R108,8,FALSE)),ROUND(VLOOKUP("10.7.2.1",A6:R108,8,FALSE),4),0) - IF(ISNUMBER(VLOOKUP("10.9",A6:R108,8,FALSE)),ROUND(VLOOKUP("10.9",A6:R108,8,FALSE),4),0) + IF(ISNUMBER(VLOOKUP("2.1.3",A6:R108,8,FALSE)),ROUND(VLOOKUP("2.1.3",A6:R108,8,FALSE),4),0) - (IF(ISNUMBER(VLOOKUP("2.1.3.1",A6:R108,8,FALSE)),ROUND(VLOOKUP("2.1.3.1",A6:R108,8,FALSE),4),0) + IF(ISNUMBER(VLOOKUP("2.1.3.2",A6:R108,8,FALSE)),ROUND(VLOOKUP("2.1.3.2",A6:R108,8,FALSE),4),0) + IF(ISNA(VLOOKUP("2.1.3.3",A6:R108,8,FALSE)),0,ROUND(VLOOKUP("2.1.3.3",A6:R108,8,FALSE),4))) + IF(ISNUMBER(VLOOKUP("10.4",A6:R108,8,FALSE)),ROUND(VLOOKUP("10.4",A6:R108,8,FALSE),4),0))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2.3845917057735481E-2</v>
      </c>
      <c r="I65" s="15">
        <f>(IF(ISNUMBER(VLOOKUP("5.1",A6:R108,9,FALSE)),ROUND(VLOOKUP("5.1",A6:R108,9,FALSE),4),0) - IF(ISNUMBER(VLOOKUP("5.1.1",A6:R108,9,FALSE)),ROUND(VLOOKUP("5.1.1",A6:R108,9,FALSE),4),0) + IF(ISNUMBER(VLOOKUP("10.7.2.1",A6:R108,9,FALSE)),ROUND(VLOOKUP("10.7.2.1",A6:R108,9,FALSE),4),0) - IF(ISNUMBER(VLOOKUP("10.9",A6:R108,9,FALSE)),ROUND(VLOOKUP("10.9",A6:R108,9,FALSE),4),0) + IF(ISNUMBER(VLOOKUP("2.1.3",A6:R108,9,FALSE)),ROUND(VLOOKUP("2.1.3",A6:R108,9,FALSE),4),0) - (IF(ISNUMBER(VLOOKUP("2.1.3.1",A6:R108,9,FALSE)),ROUND(VLOOKUP("2.1.3.1",A6:R108,9,FALSE),4),0) + IF(ISNUMBER(VLOOKUP("2.1.3.2",A6:R108,9,FALSE)),ROUND(VLOOKUP("2.1.3.2",A6:R108,9,FALSE),4),0) + IF(ISNA(VLOOKUP("2.1.3.3",A6:R108,9,FALSE)),0,ROUND(VLOOKUP("2.1.3.3",A6:R108,9,FALSE),4))) + IF(ISNUMBER(VLOOKUP("10.4",A6:R108,9,FALSE)),ROUND(VLOOKUP("10.4",A6:R108,9,FALSE),4),0))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2.2559899078177514E-2</v>
      </c>
      <c r="J65" s="15">
        <f>(IF(ISNUMBER(VLOOKUP("5.1",A6:R108,10,FALSE)),ROUND(VLOOKUP("5.1",A6:R108,10,FALSE),4),0) - IF(ISNUMBER(VLOOKUP("5.1.1",A6:R108,10,FALSE)),ROUND(VLOOKUP("5.1.1",A6:R108,10,FALSE),4),0) + IF(ISNUMBER(VLOOKUP("10.7.2.1",A6:R108,10,FALSE)),ROUND(VLOOKUP("10.7.2.1",A6:R108,10,FALSE),4),0) - IF(ISNUMBER(VLOOKUP("10.9",A6:R108,10,FALSE)),ROUND(VLOOKUP("10.9",A6:R108,10,FALSE),4),0) + IF(ISNUMBER(VLOOKUP("2.1.3",A6:R108,10,FALSE)),ROUND(VLOOKUP("2.1.3",A6:R108,10,FALSE),4),0) - (IF(ISNUMBER(VLOOKUP("2.1.3.1",A6:R108,10,FALSE)),ROUND(VLOOKUP("2.1.3.1",A6:R108,10,FALSE),4),0) + IF(ISNUMBER(VLOOKUP("2.1.3.2",A6:R108,10,FALSE)),ROUND(VLOOKUP("2.1.3.2",A6:R108,10,FALSE),4),0) + IF(ISNA(VLOOKUP("2.1.3.3",A6:R108,10,FALSE)),0,ROUND(VLOOKUP("2.1.3.3",A6:R108,10,FALSE),4))) + IF(ISNUMBER(VLOOKUP("10.4",A6:R108,10,FALSE)),ROUND(VLOOKUP("10.4",A6:R108,10,FALSE),4),0))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2.0012849922676698E-2</v>
      </c>
      <c r="K65" s="16">
        <f>(IF(ISNUMBER(VLOOKUP("5.1",A6:R108,11,FALSE)),ROUND(VLOOKUP("5.1",A6:R108,11,FALSE),4),0) - IF(ISNUMBER(VLOOKUP("5.1.1",A6:R108,11,FALSE)),ROUND(VLOOKUP("5.1.1",A6:R108,11,FALSE),4),0) + IF(ISNUMBER(VLOOKUP("10.7.2.1",A6:R108,11,FALSE)),ROUND(VLOOKUP("10.7.2.1",A6:R108,11,FALSE),4),0) - IF(ISNUMBER(VLOOKUP("10.9",A6:R108,11,FALSE)),ROUND(VLOOKUP("10.9",A6:R108,11,FALSE),4),0) + IF(ISNUMBER(VLOOKUP("2.1.3",A6:R108,11,FALSE)),ROUND(VLOOKUP("2.1.3",A6:R108,11,FALSE),4),0) - (IF(ISNUMBER(VLOOKUP("2.1.3.1",A6:R108,11,FALSE)),ROUND(VLOOKUP("2.1.3.1",A6:R108,11,FALSE),4),0) + IF(ISNUMBER(VLOOKUP("2.1.3.2",A6:R108,11,FALSE)),ROUND(VLOOKUP("2.1.3.2",A6:R108,11,FALSE),4),0) + IF(ISNA(VLOOKUP("2.1.3.3",A6:R108,11,FALSE)),0,ROUND(VLOOKUP("2.1.3.3",A6:R108,11,FALSE),4))) + IF(ISNUMBER(VLOOKUP("10.4",A6:R108,11,FALSE)),ROUND(VLOOKUP("10.4",A6:R108,11,FALSE),4),0))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2.1931844936253796E-2</v>
      </c>
      <c r="L65" s="16">
        <f>(IF(ISNUMBER(VLOOKUP("5.1",A6:R108,12,FALSE)),ROUND(VLOOKUP("5.1",A6:R108,12,FALSE),4),0) - IF(ISNUMBER(VLOOKUP("5.1.1",A6:R108,12,FALSE)),ROUND(VLOOKUP("5.1.1",A6:R108,12,FALSE),4),0) + IF(ISNUMBER(VLOOKUP("10.7.2.1",A6:R108,12,FALSE)),ROUND(VLOOKUP("10.7.2.1",A6:R108,12,FALSE),4),0) - IF(ISNUMBER(VLOOKUP("10.9",A6:R108,12,FALSE)),ROUND(VLOOKUP("10.9",A6:R108,12,FALSE),4),0) + IF(ISNUMBER(VLOOKUP("2.1.3",A6:R108,12,FALSE)),ROUND(VLOOKUP("2.1.3",A6:R108,12,FALSE),4),0) - (IF(ISNUMBER(VLOOKUP("2.1.3.1",A6:R108,12,FALSE)),ROUND(VLOOKUP("2.1.3.1",A6:R108,12,FALSE),4),0) + IF(ISNUMBER(VLOOKUP("2.1.3.2",A6:R108,12,FALSE)),ROUND(VLOOKUP("2.1.3.2",A6:R108,12,FALSE),4),0) + IF(ISNA(VLOOKUP("2.1.3.3",A6:R108,12,FALSE)),0,ROUND(VLOOKUP("2.1.3.3",A6:R108,12,FALSE),4))) + IF(ISNUMBER(VLOOKUP("10.4",A6:R108,12,FALSE)),ROUND(VLOOKUP("10.4",A6:R108,12,FALSE),4),0))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2.0526726028628362E-2</v>
      </c>
      <c r="M65" s="16">
        <f>(IF(ISNUMBER(VLOOKUP("5.1",A6:R108,13,FALSE)),ROUND(VLOOKUP("5.1",A6:R108,13,FALSE),4),0) - IF(ISNUMBER(VLOOKUP("5.1.1",A6:R108,13,FALSE)),ROUND(VLOOKUP("5.1.1",A6:R108,13,FALSE),4),0) + IF(ISNUMBER(VLOOKUP("10.7.2.1",A6:R108,13,FALSE)),ROUND(VLOOKUP("10.7.2.1",A6:R108,13,FALSE),4),0) - IF(ISNUMBER(VLOOKUP("10.9",A6:R108,13,FALSE)),ROUND(VLOOKUP("10.9",A6:R108,13,FALSE),4),0) + IF(ISNUMBER(VLOOKUP("2.1.3",A6:R108,13,FALSE)),ROUND(VLOOKUP("2.1.3",A6:R108,13,FALSE),4),0) - (IF(ISNUMBER(VLOOKUP("2.1.3.1",A6:R108,13,FALSE)),ROUND(VLOOKUP("2.1.3.1",A6:R108,13,FALSE),4),0) + IF(ISNUMBER(VLOOKUP("2.1.3.2",A6:R108,13,FALSE)),ROUND(VLOOKUP("2.1.3.2",A6:R108,13,FALSE),4),0) + IF(ISNA(VLOOKUP("2.1.3.3",A6:R108,13,FALSE)),0,ROUND(VLOOKUP("2.1.3.3",A6:R108,13,FALSE),4))) + IF(ISNUMBER(VLOOKUP("10.4",A6:R108,13,FALSE)),ROUND(VLOOKUP("10.4",A6:R108,13,FALSE),4),0))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1.8302202035038809E-2</v>
      </c>
      <c r="N65" s="16">
        <f>(IF(ISNUMBER(VLOOKUP("5.1",A6:R108,14,FALSE)),ROUND(VLOOKUP("5.1",A6:R108,14,FALSE),4),0) - IF(ISNUMBER(VLOOKUP("5.1.1",A6:R108,14,FALSE)),ROUND(VLOOKUP("5.1.1",A6:R108,14,FALSE),4),0) + IF(ISNUMBER(VLOOKUP("10.7.2.1",A6:R108,14,FALSE)),ROUND(VLOOKUP("10.7.2.1",A6:R108,14,FALSE),4),0) - IF(ISNUMBER(VLOOKUP("10.9",A6:R108,14,FALSE)),ROUND(VLOOKUP("10.9",A6:R108,14,FALSE),4),0) + IF(ISNUMBER(VLOOKUP("2.1.3",A6:R108,14,FALSE)),ROUND(VLOOKUP("2.1.3",A6:R108,14,FALSE),4),0) - (IF(ISNUMBER(VLOOKUP("2.1.3.1",A6:R108,14,FALSE)),ROUND(VLOOKUP("2.1.3.1",A6:R108,14,FALSE),4),0) + IF(ISNUMBER(VLOOKUP("2.1.3.2",A6:R108,14,FALSE)),ROUND(VLOOKUP("2.1.3.2",A6:R108,14,FALSE),4),0) + IF(ISNA(VLOOKUP("2.1.3.3",A6:R108,14,FALSE)),0,ROUND(VLOOKUP("2.1.3.3",A6:R108,14,FALSE),4))) + IF(ISNUMBER(VLOOKUP("10.4",A6:R108,14,FALSE)),ROUND(VLOOKUP("10.4",A6:R108,14,FALSE),4),0))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1.5871777896822131E-2</v>
      </c>
      <c r="O65" s="16">
        <f>(IF(ISNUMBER(VLOOKUP("5.1",A6:R108,15,FALSE)),ROUND(VLOOKUP("5.1",A6:R108,15,FALSE),4),0) - IF(ISNUMBER(VLOOKUP("5.1.1",A6:R108,15,FALSE)),ROUND(VLOOKUP("5.1.1",A6:R108,15,FALSE),4),0) + IF(ISNUMBER(VLOOKUP("10.7.2.1",A6:R108,15,FALSE)),ROUND(VLOOKUP("10.7.2.1",A6:R108,15,FALSE),4),0) - IF(ISNUMBER(VLOOKUP("10.9",A6:R108,15,FALSE)),ROUND(VLOOKUP("10.9",A6:R108,15,FALSE),4),0) + IF(ISNUMBER(VLOOKUP("2.1.3",A6:R108,15,FALSE)),ROUND(VLOOKUP("2.1.3",A6:R108,15,FALSE),4),0) - (IF(ISNUMBER(VLOOKUP("2.1.3.1",A6:R108,15,FALSE)),ROUND(VLOOKUP("2.1.3.1",A6:R108,15,FALSE),4),0) + IF(ISNUMBER(VLOOKUP("2.1.3.2",A6:R108,15,FALSE)),ROUND(VLOOKUP("2.1.3.2",A6:R108,15,FALSE),4),0) + IF(ISNA(VLOOKUP("2.1.3.3",A6:R108,15,FALSE)),0,ROUND(VLOOKUP("2.1.3.3",A6:R108,15,FALSE),4))) + IF(ISNUMBER(VLOOKUP("10.4",A6:R108,15,FALSE)),ROUND(VLOOKUP("10.4",A6:R108,15,FALSE),4),0))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1.4569213084010458E-2</v>
      </c>
      <c r="P65" s="16">
        <f>(IF(ISNUMBER(VLOOKUP("5.1",A6:R108,16,FALSE)),ROUND(VLOOKUP("5.1",A6:R108,16,FALSE),4),0) - IF(ISNUMBER(VLOOKUP("5.1.1",A6:R108,16,FALSE)),ROUND(VLOOKUP("5.1.1",A6:R108,16,FALSE),4),0) + IF(ISNUMBER(VLOOKUP("10.7.2.1",A6:R108,16,FALSE)),ROUND(VLOOKUP("10.7.2.1",A6:R108,16,FALSE),4),0) - IF(ISNUMBER(VLOOKUP("10.9",A6:R108,16,FALSE)),ROUND(VLOOKUP("10.9",A6:R108,16,FALSE),4),0) + IF(ISNUMBER(VLOOKUP("2.1.2",A6:R108,16,FALSE)),ROUND(VLOOKUP("2.1.2",A6:R108,16,FALSE),4),0) - IF(ISNUMBER(VLOOKUP("2.1.2.1",A6:R108,16,FALSE)),ROUND(VLOOKUP("2.1.2.1",A6:R108,16,FALSE),4),0) + IF(ISNUMBER(VLOOKUP("2.1.3",A6:R108,16,FALSE)),ROUND(VLOOKUP("2.1.3",A6:R108,16,FALSE),4),0) - (IF(ISNUMBER(VLOOKUP("2.1.3.1",A6:R108,16,FALSE)),ROUND(VLOOKUP("2.1.3.1",A6:R108,16,FALSE),4),0) + IF(ISNUMBER(VLOOKUP("2.1.3.2",A6:R108,16,FALSE)),ROUND(VLOOKUP("2.1.3.2",A6:R108,16,FALSE),4),0) + IF(ISNA(VLOOKUP("2.1.3.3",A6:R108,16,FALSE)),0,ROUND(VLOOKUP("2.1.3.3",A6:R108,16,FALSE),4))) + IF(ISNUMBER(VLOOKUP("10.4",A6:R108,16,FALSE)),ROUND(VLOOKUP("10.4",A6:R108,16,FALSE),4),0))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1.334282170287473E-2</v>
      </c>
      <c r="Q65" s="16">
        <f>(IF(ISNUMBER(VLOOKUP("5.1",A6:R108,17,FALSE)),ROUND(VLOOKUP("5.1",A6:R108,17,FALSE),4),0) - IF(ISNUMBER(VLOOKUP("5.1.1",A6:R108,17,FALSE)),ROUND(VLOOKUP("5.1.1",A6:R108,17,FALSE),4),0) + IF(ISNUMBER(VLOOKUP("10.7.2.1",A6:R108,17,FALSE)),ROUND(VLOOKUP("10.7.2.1",A6:R108,17,FALSE),4),0) - IF(ISNUMBER(VLOOKUP("10.9",A6:R108,17,FALSE)),ROUND(VLOOKUP("10.9",A6:R108,17,FALSE),4),0) + IF(ISNUMBER(VLOOKUP("2.1.2",A6:R108,17,FALSE)),ROUND(VLOOKUP("2.1.2",A6:R108,17,FALSE),4),0) - IF(ISNUMBER(VLOOKUP("2.1.2.1",A6:R108,17,FALSE)),ROUND(VLOOKUP("2.1.2.1",A6:R108,17,FALSE),4),0) + IF(ISNUMBER(VLOOKUP("2.1.3",A6:R108,17,FALSE)),ROUND(VLOOKUP("2.1.3",A6:R108,17,FALSE),4),0) - (IF(ISNUMBER(VLOOKUP("2.1.3.1",A6:R108,17,FALSE)),ROUND(VLOOKUP("2.1.3.1",A6:R108,17,FALSE),4),0) + IF(ISNUMBER(VLOOKUP("2.1.3.2",A6:R108,17,FALSE)),ROUND(VLOOKUP("2.1.3.2",A6:R108,17,FALSE),4),0) + IF(ISNA(VLOOKUP("2.1.3.3",A6:R108,17,FALSE)),0,ROUND(VLOOKUP("2.1.3.3",A6:R108,17,FALSE),4))) + IF(ISNUMBER(VLOOKUP("10.4",A6:R108,17,FALSE)),ROUND(VLOOKUP("10.4",A6:R108,17,FALSE),4),0))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1.1207372738466188E-2</v>
      </c>
      <c r="R65" s="16">
        <f>(IF(ISNUMBER(VLOOKUP("5.1",A6:R108,18,FALSE)),ROUND(VLOOKUP("5.1",A6:R108,18,FALSE),4),0) - IF(ISNUMBER(VLOOKUP("5.1.1",A6:R108,18,FALSE)),ROUND(VLOOKUP("5.1.1",A6:R108,18,FALSE),4),0) + IF(ISNUMBER(VLOOKUP("10.7.2.1",A6:R108,18,FALSE)),ROUND(VLOOKUP("10.7.2.1",A6:R108,18,FALSE),4),0) - IF(ISNUMBER(VLOOKUP("10.9",A6:R108,18,FALSE)),ROUND(VLOOKUP("10.9",A6:R108,18,FALSE),4),0) + IF(ISNUMBER(VLOOKUP("2.1.2",A6:R108,18,FALSE)),ROUND(VLOOKUP("2.1.2",A6:R108,18,FALSE),4),0) - IF(ISNUMBER(VLOOKUP("2.1.2.1",A6:R108,18,FALSE)),ROUND(VLOOKUP("2.1.2.1",A6:R108,18,FALSE),4),0) + IF(ISNUMBER(VLOOKUP("2.1.3",A6:R108,18,FALSE)),ROUND(VLOOKUP("2.1.3",A6:R108,18,FALSE),4),0) - (IF(ISNUMBER(VLOOKUP("2.1.3.1",A6:R108,18,FALSE)),ROUND(VLOOKUP("2.1.3.1",A6:R108,18,FALSE),4),0) + IF(ISNUMBER(VLOOKUP("2.1.3.2",A6:R108,18,FALSE)),ROUND(VLOOKUP("2.1.3.2",A6:R108,18,FALSE),4),0) + IF(ISNA(VLOOKUP("2.1.3.3",A6:R108,18,FALSE)),0,ROUND(VLOOKUP("2.1.3.3",A6:R108,18,FALSE),4))) + IF(ISNUMBER(VLOOKUP("10.4",A6:R108,18,FALSE)),ROUND(VLOOKUP("10.4",A6:R108,18,FALSE),4),0))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1.0199853897292775E-2</v>
      </c>
    </row>
    <row r="66" spans="1:18" ht="30" customHeight="1" x14ac:dyDescent="0.3">
      <c r="A66" s="13" t="s">
        <v>132</v>
      </c>
      <c r="B66" s="14" t="s">
        <v>133</v>
      </c>
      <c r="C66" s="15">
        <f>((IF(ISNUMBER(VLOOKUP("1.1",A6:R108,3,FALSE)),ROUND(VLOOKUP("1.1",A6:R108,3,FALSE),4),0) - IF(ISNUMBER(VLOOKUP("9.1.1",A6:R108,3,FALSE)),ROUND(VLOOKUP("9.1.1",A6:R108,3,FALSE),4),0) - IF(ISNA(VLOOKUP("11.1.1",A6:R108,3,FALSE)),0,ROUND(VLOOKUP("11.1.1",A6:R108,3,FALSE),4))) - (IF(ISNUMBER(VLOOKUP("2.1",A6:R108,3,FALSE)),ROUND(VLOOKUP("2.1",A6:R108,3,FALSE),4),0) - IF(ISNUMBER(VLOOKUP("9.3.1",A6:R108,3,FALSE)),ROUND(VLOOKUP("9.3.1",A6:R108,3,FALSE),4),0) - IF(ISNUMBER(VLOOKUP("10.7.2.1.1",A6:R108,3,FALSE)),ROUND(VLOOKUP("10.7.2.1.1",A6:R108,3,FALSE),4),0) - IF(ISNUMBER(VLOOKUP("2.1.3",A6:R108,3,FALSE)),ROUND(VLOOKUP("2.1.3",A6:R108,3,FALSE),4),0) - IF(ISNA(VLOOKUP("10.11",A6:R108,3,FALSE)),0,ROUND(VLOOKUP("10.11",A6:R108,3,FALSE),4))))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7.5307784272118719E-2</v>
      </c>
      <c r="D66" s="15">
        <f>((IF(ISNUMBER(VLOOKUP("1.1",A6:R108,4,FALSE)),ROUND(VLOOKUP("1.1",A6:R108,4,FALSE),4),0) - IF(ISNUMBER(VLOOKUP("9.1.1",A6:R108,4,FALSE)),ROUND(VLOOKUP("9.1.1",A6:R108,4,FALSE),4),0) - IF(ISNA(VLOOKUP("11.1.1",A6:R108,4,FALSE)),0,ROUND(VLOOKUP("11.1.1",A6:R108,4,FALSE),4))) - (IF(ISNUMBER(VLOOKUP("2.1",A6:R108,4,FALSE)),ROUND(VLOOKUP("2.1",A6:R108,4,FALSE),4),0) - IF(ISNUMBER(VLOOKUP("9.3.1",A6:R108,4,FALSE)),ROUND(VLOOKUP("9.3.1",A6:R108,4,FALSE),4),0) - IF(ISNUMBER(VLOOKUP("10.7.2.1.1",A6:R108,4,FALSE)),ROUND(VLOOKUP("10.7.2.1.1",A6:R108,4,FALSE),4),0) - IF(ISNUMBER(VLOOKUP("2.1.3",A6:R108,4,FALSE)),ROUND(VLOOKUP("2.1.3",A6:R108,4,FALSE),4),0) - IF(ISNA(VLOOKUP("10.11",A6:R108,4,FALSE)),0,ROUND(VLOOKUP("10.11",A6:R108,4,FALSE),4))))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0.10694198267547497</v>
      </c>
      <c r="E66" s="15">
        <f>((IF(ISNUMBER(VLOOKUP("1.1",A6:R108,5,FALSE)),ROUND(VLOOKUP("1.1",A6:R108,5,FALSE),4),0) - IF(ISNUMBER(VLOOKUP("9.1.1",A6:R108,5,FALSE)),ROUND(VLOOKUP("9.1.1",A6:R108,5,FALSE),4),0) - IF(ISNA(VLOOKUP("11.1.1",A6:R108,5,FALSE)),0,ROUND(VLOOKUP("11.1.1",A6:R108,5,FALSE),4))) - (IF(ISNUMBER(VLOOKUP("2.1",A6:R108,5,FALSE)),ROUND(VLOOKUP("2.1",A6:R108,5,FALSE),4),0) - IF(ISNUMBER(VLOOKUP("9.3.1",A6:R108,5,FALSE)),ROUND(VLOOKUP("9.3.1",A6:R108,5,FALSE),4),0) - IF(ISNUMBER(VLOOKUP("10.7.2.1.1",A6:R108,5,FALSE)),ROUND(VLOOKUP("10.7.2.1.1",A6:R108,5,FALSE),4),0) - IF(ISNUMBER(VLOOKUP("2.1.3",A6:R108,5,FALSE)),ROUND(VLOOKUP("2.1.3",A6:R108,5,FALSE),4),0) - IF(ISNA(VLOOKUP("10.11",A6:R108,5,FALSE)),0,ROUND(VLOOKUP("10.11",A6:R108,5,FALSE),4))))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0.12030108731936802</v>
      </c>
      <c r="F66" s="15">
        <f>((IF(ISNUMBER(VLOOKUP("1.1",A6:R108,6,FALSE)),ROUND(VLOOKUP("1.1",A6:R108,6,FALSE),4),0) - IF(ISNUMBER(VLOOKUP("9.1.1",A6:R108,6,FALSE)),ROUND(VLOOKUP("9.1.1",A6:R108,6,FALSE),4),0) - IF(ISNA(VLOOKUP("11.1.1",A6:R108,6,FALSE)),0,ROUND(VLOOKUP("11.1.1",A6:R108,6,FALSE),4))) - (IF(ISNUMBER(VLOOKUP("2.1",A6:R108,6,FALSE)),ROUND(VLOOKUP("2.1",A6:R108,6,FALSE),4),0) - IF(ISNUMBER(VLOOKUP("9.3.1",A6:R108,6,FALSE)),ROUND(VLOOKUP("9.3.1",A6:R108,6,FALSE),4),0) - IF(ISNUMBER(VLOOKUP("10.7.2.1.1",A6:R108,6,FALSE)),ROUND(VLOOKUP("10.7.2.1.1",A6:R108,6,FALSE),4),0) - IF(ISNUMBER(VLOOKUP("2.1.3",A6:R108,6,FALSE)),ROUND(VLOOKUP("2.1.3",A6:R108,6,FALSE),4),0) - IF(ISNA(VLOOKUP("10.11",A6:R108,6,FALSE)),0,ROUND(VLOOKUP("10.11",A6:R108,6,FALSE),4))))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9.5094323041852877E-2</v>
      </c>
      <c r="G66" s="15">
        <f>((IF(ISNUMBER(VLOOKUP("1.1",A6:R108,7,FALSE)),ROUND(VLOOKUP("1.1",A6:R108,7,FALSE),4),0) - IF(ISNUMBER(VLOOKUP("9.1.1",A6:R108,7,FALSE)),ROUND(VLOOKUP("9.1.1",A6:R108,7,FALSE),4),0) - IF(ISNA(VLOOKUP("11.1.1",A6:R108,7,FALSE)),0,ROUND(VLOOKUP("11.1.1",A6:R108,7,FALSE),4))) - (IF(ISNUMBER(VLOOKUP("2.1",A6:R108,7,FALSE)),ROUND(VLOOKUP("2.1",A6:R108,7,FALSE),4),0) - IF(ISNUMBER(VLOOKUP("9.3.1",A6:R108,7,FALSE)),ROUND(VLOOKUP("9.3.1",A6:R108,7,FALSE),4),0) - IF(ISNUMBER(VLOOKUP("10.7.2.1.1",A6:R108,7,FALSE)),ROUND(VLOOKUP("10.7.2.1.1",A6:R108,7,FALSE),4),0) - IF(ISNUMBER(VLOOKUP("2.1.3",A6:R108,7,FALSE)),ROUND(VLOOKUP("2.1.3",A6:R108,7,FALSE),4),0) - IF(ISNA(VLOOKUP("10.11",A6:R108,7,FALSE)),0,ROUND(VLOOKUP("10.11",A6:R108,7,FALSE),4))))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0.11133032732167679</v>
      </c>
      <c r="H66" s="15">
        <f>((IF(ISNUMBER(VLOOKUP("1.1",A6:R108,8,FALSE)),ROUND(VLOOKUP("1.1",A6:R108,8,FALSE),4),0) - IF(ISNUMBER(VLOOKUP("9.1.1",A6:R108,8,FALSE)),ROUND(VLOOKUP("9.1.1",A6:R108,8,FALSE),4),0) - IF(ISNA(VLOOKUP("11.1.1",A6:R108,8,FALSE)),0,ROUND(VLOOKUP("11.1.1",A6:R108,8,FALSE),4))) - (IF(ISNUMBER(VLOOKUP("2.1",A6:R108,8,FALSE)),ROUND(VLOOKUP("2.1",A6:R108,8,FALSE),4),0) - IF(ISNUMBER(VLOOKUP("9.3.1",A6:R108,8,FALSE)),ROUND(VLOOKUP("9.3.1",A6:R108,8,FALSE),4),0) - IF(ISNUMBER(VLOOKUP("10.7.2.1.1",A6:R108,8,FALSE)),ROUND(VLOOKUP("10.7.2.1.1",A6:R108,8,FALSE),4),0) - IF(ISNUMBER(VLOOKUP("2.1.3",A6:R108,8,FALSE)),ROUND(VLOOKUP("2.1.3",A6:R108,8,FALSE),4),0) - IF(ISNA(VLOOKUP("10.11",A6:R108,8,FALSE)),0,ROUND(VLOOKUP("10.11",A6:R108,8,FALSE),4))))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3.5434775515212721E-2</v>
      </c>
      <c r="I66" s="15">
        <f>((IF(ISNUMBER(VLOOKUP("1.1",A6:R108,9,FALSE)),ROUND(VLOOKUP("1.1",A6:R108,9,FALSE),4),0) - IF(ISNUMBER(VLOOKUP("9.1.1",A6:R108,9,FALSE)),ROUND(VLOOKUP("9.1.1",A6:R108,9,FALSE),4),0) - IF(ISNA(VLOOKUP("11.1.1",A6:R108,9,FALSE)),0,ROUND(VLOOKUP("11.1.1",A6:R108,9,FALSE),4))) - (IF(ISNUMBER(VLOOKUP("2.1",A6:R108,9,FALSE)),ROUND(VLOOKUP("2.1",A6:R108,9,FALSE),4),0) - IF(ISNUMBER(VLOOKUP("9.3.1",A6:R108,9,FALSE)),ROUND(VLOOKUP("9.3.1",A6:R108,9,FALSE),4),0) - IF(ISNUMBER(VLOOKUP("10.7.2.1.1",A6:R108,9,FALSE)),ROUND(VLOOKUP("10.7.2.1.1",A6:R108,9,FALSE),4),0) - IF(ISNUMBER(VLOOKUP("2.1.3",A6:R108,9,FALSE)),ROUND(VLOOKUP("2.1.3",A6:R108,9,FALSE),4),0) - IF(ISNA(VLOOKUP("10.11",A6:R108,9,FALSE)),0,ROUND(VLOOKUP("10.11",A6:R108,9,FALSE),4))))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9.6904242642915486E-2</v>
      </c>
      <c r="J66" s="15">
        <f>((IF(ISNUMBER(VLOOKUP("1.1",A6:R108,10,FALSE)),ROUND(VLOOKUP("1.1",A6:R108,10,FALSE),4),0) - IF(ISNUMBER(VLOOKUP("9.1.1",A6:R108,10,FALSE)),ROUND(VLOOKUP("9.1.1",A6:R108,10,FALSE),4),0) - IF(ISNA(VLOOKUP("11.1.1",A6:R108,10,FALSE)),0,ROUND(VLOOKUP("11.1.1",A6:R108,10,FALSE),4))) - (IF(ISNUMBER(VLOOKUP("2.1",A6:R108,10,FALSE)),ROUND(VLOOKUP("2.1",A6:R108,10,FALSE),4),0) - IF(ISNUMBER(VLOOKUP("9.3.1",A6:R108,10,FALSE)),ROUND(VLOOKUP("9.3.1",A6:R108,10,FALSE),4),0) - IF(ISNUMBER(VLOOKUP("10.7.2.1.1",A6:R108,10,FALSE)),ROUND(VLOOKUP("10.7.2.1.1",A6:R108,10,FALSE),4),0) - IF(ISNUMBER(VLOOKUP("2.1.3",A6:R108,10,FALSE)),ROUND(VLOOKUP("2.1.3",A6:R108,10,FALSE),4),0) - IF(ISNA(VLOOKUP("10.11",A6:R108,10,FALSE)),0,ROUND(VLOOKUP("10.11",A6:R108,10,FALSE),4))))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0.13894971422134564</v>
      </c>
      <c r="K66" s="16">
        <f>((IF(ISNUMBER(VLOOKUP("1.1",A6:R108,11,FALSE)),ROUND(VLOOKUP("1.1",A6:R108,11,FALSE),4),0) - IF(ISNUMBER(VLOOKUP("9.1.1",A6:R108,11,FALSE)),ROUND(VLOOKUP("9.1.1",A6:R108,11,FALSE),4),0) - IF(ISNA(VLOOKUP("11.1.1",A6:R108,11,FALSE)),0,ROUND(VLOOKUP("11.1.1",A6:R108,11,FALSE),4))) - (IF(ISNUMBER(VLOOKUP("2.1",A6:R108,11,FALSE)),ROUND(VLOOKUP("2.1",A6:R108,11,FALSE),4),0) - IF(ISNUMBER(VLOOKUP("9.3.1",A6:R108,11,FALSE)),ROUND(VLOOKUP("9.3.1",A6:R108,11,FALSE),4),0) - IF(ISNUMBER(VLOOKUP("10.7.2.1.1",A6:R108,11,FALSE)),ROUND(VLOOKUP("10.7.2.1.1",A6:R108,11,FALSE),4),0) - IF(ISNUMBER(VLOOKUP("2.1.3",A6:R108,11,FALSE)),ROUND(VLOOKUP("2.1.3",A6:R108,11,FALSE),4),0) - IF(ISNA(VLOOKUP("10.11",A6:R108,11,FALSE)),0,ROUND(VLOOKUP("10.11",A6:R108,11,FALSE),4))))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6.4858542588758644E-2</v>
      </c>
      <c r="L66" s="16">
        <f>((IF(ISNUMBER(VLOOKUP("1.1",A6:R108,12,FALSE)),ROUND(VLOOKUP("1.1",A6:R108,12,FALSE),4),0) - IF(ISNUMBER(VLOOKUP("9.1.1",A6:R108,12,FALSE)),ROUND(VLOOKUP("9.1.1",A6:R108,12,FALSE),4),0) - IF(ISNA(VLOOKUP("11.1.1",A6:R108,12,FALSE)),0,ROUND(VLOOKUP("11.1.1",A6:R108,12,FALSE),4))) - (IF(ISNUMBER(VLOOKUP("2.1",A6:R108,12,FALSE)),ROUND(VLOOKUP("2.1",A6:R108,12,FALSE),4),0) - IF(ISNUMBER(VLOOKUP("9.3.1",A6:R108,12,FALSE)),ROUND(VLOOKUP("9.3.1",A6:R108,12,FALSE),4),0) - IF(ISNUMBER(VLOOKUP("10.7.2.1.1",A6:R108,12,FALSE)),ROUND(VLOOKUP("10.7.2.1.1",A6:R108,12,FALSE),4),0) - IF(ISNUMBER(VLOOKUP("2.1.3",A6:R108,12,FALSE)),ROUND(VLOOKUP("2.1.3",A6:R108,12,FALSE),4),0) - IF(ISNA(VLOOKUP("10.11",A6:R108,12,FALSE)),0,ROUND(VLOOKUP("10.11",A6:R108,12,FALSE),4))))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7.3086799577921399E-2</v>
      </c>
      <c r="M66" s="16">
        <f>((IF(ISNUMBER(VLOOKUP("1.1",A6:R108,13,FALSE)),ROUND(VLOOKUP("1.1",A6:R108,13,FALSE),4),0) - IF(ISNUMBER(VLOOKUP("9.1.1",A6:R108,13,FALSE)),ROUND(VLOOKUP("9.1.1",A6:R108,13,FALSE),4),0) - IF(ISNA(VLOOKUP("11.1.1",A6:R108,13,FALSE)),0,ROUND(VLOOKUP("11.1.1",A6:R108,13,FALSE),4))) - (IF(ISNUMBER(VLOOKUP("2.1",A6:R108,13,FALSE)),ROUND(VLOOKUP("2.1",A6:R108,13,FALSE),4),0) - IF(ISNUMBER(VLOOKUP("9.3.1",A6:R108,13,FALSE)),ROUND(VLOOKUP("9.3.1",A6:R108,13,FALSE),4),0) - IF(ISNUMBER(VLOOKUP("10.7.2.1.1",A6:R108,13,FALSE)),ROUND(VLOOKUP("10.7.2.1.1",A6:R108,13,FALSE),4),0) - IF(ISNUMBER(VLOOKUP("2.1.3",A6:R108,13,FALSE)),ROUND(VLOOKUP("2.1.3",A6:R108,13,FALSE),4),0) - IF(ISNA(VLOOKUP("10.11",A6:R108,13,FALSE)),0,ROUND(VLOOKUP("10.11",A6:R108,13,FALSE),4))))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7.5111943808791687E-2</v>
      </c>
      <c r="N66" s="16">
        <f>((IF(ISNUMBER(VLOOKUP("1.1",A6:R108,14,FALSE)),ROUND(VLOOKUP("1.1",A6:R108,14,FALSE),4),0) - IF(ISNUMBER(VLOOKUP("9.1.1",A6:R108,14,FALSE)),ROUND(VLOOKUP("9.1.1",A6:R108,14,FALSE),4),0) - IF(ISNA(VLOOKUP("11.1.1",A6:R108,14,FALSE)),0,ROUND(VLOOKUP("11.1.1",A6:R108,14,FALSE),4))) - (IF(ISNUMBER(VLOOKUP("2.1",A6:R108,14,FALSE)),ROUND(VLOOKUP("2.1",A6:R108,14,FALSE),4),0) - IF(ISNUMBER(VLOOKUP("9.3.1",A6:R108,14,FALSE)),ROUND(VLOOKUP("9.3.1",A6:R108,14,FALSE),4),0) - IF(ISNUMBER(VLOOKUP("10.7.2.1.1",A6:R108,14,FALSE)),ROUND(VLOOKUP("10.7.2.1.1",A6:R108,14,FALSE),4),0) - IF(ISNUMBER(VLOOKUP("2.1.3",A6:R108,14,FALSE)),ROUND(VLOOKUP("2.1.3",A6:R108,14,FALSE),4),0) - IF(ISNA(VLOOKUP("10.11",A6:R108,14,FALSE)),0,ROUND(VLOOKUP("10.11",A6:R108,14,FALSE),4))))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7.7771703362786493E-2</v>
      </c>
      <c r="O66" s="16">
        <f>((IF(ISNUMBER(VLOOKUP("1.1",A6:R108,15,FALSE)),ROUND(VLOOKUP("1.1",A6:R108,15,FALSE),4),0) - IF(ISNUMBER(VLOOKUP("9.1.1",A6:R108,15,FALSE)),ROUND(VLOOKUP("9.1.1",A6:R108,15,FALSE),4),0) - IF(ISNA(VLOOKUP("11.1.1",A6:R108,15,FALSE)),0,ROUND(VLOOKUP("11.1.1",A6:R108,15,FALSE),4))) - (IF(ISNUMBER(VLOOKUP("2.1",A6:R108,15,FALSE)),ROUND(VLOOKUP("2.1",A6:R108,15,FALSE),4),0) - IF(ISNUMBER(VLOOKUP("9.3.1",A6:R108,15,FALSE)),ROUND(VLOOKUP("9.3.1",A6:R108,15,FALSE),4),0) - IF(ISNUMBER(VLOOKUP("10.7.2.1.1",A6:R108,15,FALSE)),ROUND(VLOOKUP("10.7.2.1.1",A6:R108,15,FALSE),4),0) - IF(ISNUMBER(VLOOKUP("2.1.3",A6:R108,15,FALSE)),ROUND(VLOOKUP("2.1.3",A6:R108,15,FALSE),4),0) - IF(ISNA(VLOOKUP("10.11",A6:R108,15,FALSE)),0,ROUND(VLOOKUP("10.11",A6:R108,15,FALSE),4))))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7.7288457927687959E-2</v>
      </c>
      <c r="P66" s="16">
        <f>((IF(ISNUMBER(VLOOKUP("1.1",A6:R108,16,FALSE)),ROUND(VLOOKUP("1.1",A6:R108,16,FALSE),4),0) - IF(ISNUMBER(VLOOKUP("9.1.1",A6:R108,16,FALSE)),ROUND(VLOOKUP("9.1.1",A6:R108,16,FALSE),4),0) - IF(ISNA(VLOOKUP("11.1.1",A6:R108,16,FALSE)),0,ROUND(VLOOKUP("11.1.1",A6:R108,16,FALSE),4))) - (IF(ISNUMBER(VLOOKUP("2.1",A6:R108,16,FALSE)),ROUND(VLOOKUP("2.1",A6:R108,16,FALSE),4),0) - IF(ISNUMBER(VLOOKUP("9.3.1",A6:R108,16,FALSE)),ROUND(VLOOKUP("9.3.1",A6:R108,16,FALSE),4),0) - IF(ISNUMBER(VLOOKUP("10.7.2.1.1",A6:R108,16,FALSE)),ROUND(VLOOKUP("10.7.2.1.1",A6:R108,16,FALSE),4),0) - IF(ISNUMBER(VLOOKUP("2.1.3",A6:R108,16,FALSE)),ROUND(VLOOKUP("2.1.3",A6:R108,16,FALSE),4),0) - IF(ISNA(VLOOKUP("10.11",A6:R108,16,FALSE)),0,ROUND(VLOOKUP("10.11",A6:R108,16,FALSE),4))))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7.7021854005743129E-2</v>
      </c>
      <c r="Q66" s="16">
        <f>((IF(ISNUMBER(VLOOKUP("1.1",A6:R108,17,FALSE)),ROUND(VLOOKUP("1.1",A6:R108,17,FALSE),4),0) - IF(ISNUMBER(VLOOKUP("9.1.1",A6:R108,17,FALSE)),ROUND(VLOOKUP("9.1.1",A6:R108,17,FALSE),4),0) - IF(ISNA(VLOOKUP("11.1.1",A6:R108,17,FALSE)),0,ROUND(VLOOKUP("11.1.1",A6:R108,17,FALSE),4))) - (IF(ISNUMBER(VLOOKUP("2.1",A6:R108,17,FALSE)),ROUND(VLOOKUP("2.1",A6:R108,17,FALSE),4),0) - IF(ISNUMBER(VLOOKUP("9.3.1",A6:R108,17,FALSE)),ROUND(VLOOKUP("9.3.1",A6:R108,17,FALSE),4),0) - IF(ISNUMBER(VLOOKUP("10.7.2.1.1",A6:R108,17,FALSE)),ROUND(VLOOKUP("10.7.2.1.1",A6:R108,17,FALSE),4),0) - IF(ISNUMBER(VLOOKUP("2.1.3",A6:R108,17,FALSE)),ROUND(VLOOKUP("2.1.3",A6:R108,17,FALSE),4),0) - IF(ISNA(VLOOKUP("10.11",A6:R108,17,FALSE)),0,ROUND(VLOOKUP("10.11",A6:R108,17,FALSE),4))))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7.7021857576738156E-2</v>
      </c>
      <c r="R66" s="16">
        <f>((IF(ISNUMBER(VLOOKUP("1.1",A6:R108,18,FALSE)),ROUND(VLOOKUP("1.1",A6:R108,18,FALSE),4),0) - IF(ISNUMBER(VLOOKUP("9.1.1",A6:R108,18,FALSE)),ROUND(VLOOKUP("9.1.1",A6:R108,18,FALSE),4),0) - IF(ISNA(VLOOKUP("11.1.1",A6:R108,18,FALSE)),0,ROUND(VLOOKUP("11.1.1",A6:R108,18,FALSE),4))) - (IF(ISNUMBER(VLOOKUP("2.1",A6:R108,18,FALSE)),ROUND(VLOOKUP("2.1",A6:R108,18,FALSE),4),0) - IF(ISNUMBER(VLOOKUP("9.3.1",A6:R108,18,FALSE)),ROUND(VLOOKUP("9.3.1",A6:R108,18,FALSE),4),0) - IF(ISNUMBER(VLOOKUP("10.7.2.1.1",A6:R108,18,FALSE)),ROUND(VLOOKUP("10.7.2.1.1",A6:R108,18,FALSE),4),0) - IF(ISNUMBER(VLOOKUP("2.1.3",A6:R108,18,FALSE)),ROUND(VLOOKUP("2.1.3",A6:R108,18,FALSE),4),0) - IF(ISNA(VLOOKUP("10.11",A6:R108,18,FALSE)),0,ROUND(VLOOKUP("10.11",A6:R108,18,FALSE),4))))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7.7021854516733684E-2</v>
      </c>
    </row>
    <row r="67" spans="1:18" ht="30" customHeight="1" x14ac:dyDescent="0.3">
      <c r="A67" s="13" t="s">
        <v>134</v>
      </c>
      <c r="B67" s="14" t="s">
        <v>135</v>
      </c>
      <c r="C67" s="15">
        <f>((IF(ISNUMBER(VLOOKUP("1.1",A6:R108,3,FALSE)),ROUND(VLOOKUP("1.1",A6:R108,3,FALSE),4),0) - IF(ISNUMBER(VLOOKUP("9.1.1",A6:R108,3,FALSE)),ROUND(VLOOKUP("9.1.1",A6:R108,3,FALSE),4),0) - IF(ISNA(VLOOKUP("11.1.1",A6:R108,3,FALSE)),0,ROUND(VLOOKUP("11.1.1",A6:R108,3,FALSE),4))) + IF(ISNUMBER(VLOOKUP("1.2.1",A6:R108,3,FALSE)),ROUND(VLOOKUP("1.2.1",A6:R108,3,FALSE),4),0) - (IF(ISNUMBER(VLOOKUP("2.1",A6:R108,3,FALSE)),ROUND(VLOOKUP("2.1",A6:R108,3,FALSE),4),0) - IF(ISNUMBER(VLOOKUP("9.3.1",A6:R108,3,FALSE)),ROUND(VLOOKUP("9.3.1",A6:R108,3,FALSE),4),0) - IF(ISNUMBER(VLOOKUP("10.7.2.1.1",A6:R108,3,FALSE)),ROUND(VLOOKUP("10.7.2.1.1",A6:R108,3,FALSE),4),0) - IF(ISNUMBER(VLOOKUP("2.1.3",A6:R108,3,FALSE)),ROUND(VLOOKUP("2.1.3",A6:R108,3,FALSE),4),0) - IF(ISNA(VLOOKUP("10.11",A6:R108,3,FALSE)),0,ROUND(VLOOKUP("10.11",A6:R108,3,FALSE),4)))) / (IF(ISNUMBER(VLOOKUP("1.1",A6:R108,3,FALSE)),ROUND(VLOOKUP("1.1",A6:R108,3,FALSE),4),0) - IF(ISNUMBER(VLOOKUP("1.1.4",A6:R108,3,FALSE)),ROUND(VLOOKUP("1.1.4",A6:R108,3,FALSE),4),0) - IF(ISNA(VLOOKUP("11.1.1",A6:R108,3,FALSE)),0,ROUND(VLOOKUP("11.1.1",A6:R108,3,FALSE),4)))</f>
        <v>7.5827442729686376E-2</v>
      </c>
      <c r="D67" s="15">
        <f>((IF(ISNUMBER(VLOOKUP("1.1",A6:R108,4,FALSE)),ROUND(VLOOKUP("1.1",A6:R108,4,FALSE),4),0) - IF(ISNUMBER(VLOOKUP("9.1.1",A6:R108,4,FALSE)),ROUND(VLOOKUP("9.1.1",A6:R108,4,FALSE),4),0) - IF(ISNA(VLOOKUP("11.1.1",A6:R108,4,FALSE)),0,ROUND(VLOOKUP("11.1.1",A6:R108,4,FALSE),4))) + IF(ISNUMBER(VLOOKUP("1.2.1",A6:R108,4,FALSE)),ROUND(VLOOKUP("1.2.1",A6:R108,4,FALSE),4),0) - (IF(ISNUMBER(VLOOKUP("2.1",A6:R108,4,FALSE)),ROUND(VLOOKUP("2.1",A6:R108,4,FALSE),4),0) - IF(ISNUMBER(VLOOKUP("9.3.1",A6:R108,4,FALSE)),ROUND(VLOOKUP("9.3.1",A6:R108,4,FALSE),4),0) - IF(ISNUMBER(VLOOKUP("10.7.2.1.1",A6:R108,4,FALSE)),ROUND(VLOOKUP("10.7.2.1.1",A6:R108,4,FALSE),4),0) - IF(ISNUMBER(VLOOKUP("2.1.3",A6:R108,4,FALSE)),ROUND(VLOOKUP("2.1.3",A6:R108,4,FALSE),4),0) - IF(ISNA(VLOOKUP("10.11",A6:R108,4,FALSE)),0,ROUND(VLOOKUP("10.11",A6:R108,4,FALSE),4)))) / (IF(ISNUMBER(VLOOKUP("1.1",A6:R108,4,FALSE)),ROUND(VLOOKUP("1.1",A6:R108,4,FALSE),4),0) - IF(ISNUMBER(VLOOKUP("1.1.4",A6:R108,4,FALSE)),ROUND(VLOOKUP("1.1.4",A6:R108,4,FALSE),4),0) - IF(ISNA(VLOOKUP("11.1.1",A6:R108,4,FALSE)),0,ROUND(VLOOKUP("11.1.1",A6:R108,4,FALSE),4)))</f>
        <v>0.10926310018970678</v>
      </c>
      <c r="E67" s="15">
        <f>((IF(ISNUMBER(VLOOKUP("1.1",A6:R108,5,FALSE)),ROUND(VLOOKUP("1.1",A6:R108,5,FALSE),4),0) - IF(ISNUMBER(VLOOKUP("9.1.1",A6:R108,5,FALSE)),ROUND(VLOOKUP("9.1.1",A6:R108,5,FALSE),4),0) - IF(ISNA(VLOOKUP("11.1.1",A6:R108,5,FALSE)),0,ROUND(VLOOKUP("11.1.1",A6:R108,5,FALSE),4))) + IF(ISNUMBER(VLOOKUP("1.2.1",A6:R108,5,FALSE)),ROUND(VLOOKUP("1.2.1",A6:R108,5,FALSE),4),0) - (IF(ISNUMBER(VLOOKUP("2.1",A6:R108,5,FALSE)),ROUND(VLOOKUP("2.1",A6:R108,5,FALSE),4),0) - IF(ISNUMBER(VLOOKUP("9.3.1",A6:R108,5,FALSE)),ROUND(VLOOKUP("9.3.1",A6:R108,5,FALSE),4),0) - IF(ISNUMBER(VLOOKUP("10.7.2.1.1",A6:R108,5,FALSE)),ROUND(VLOOKUP("10.7.2.1.1",A6:R108,5,FALSE),4),0) - IF(ISNUMBER(VLOOKUP("2.1.3",A6:R108,5,FALSE)),ROUND(VLOOKUP("2.1.3",A6:R108,5,FALSE),4),0) - IF(ISNA(VLOOKUP("10.11",A6:R108,5,FALSE)),0,ROUND(VLOOKUP("10.11",A6:R108,5,FALSE),4)))) / (IF(ISNUMBER(VLOOKUP("1.1",A6:R108,5,FALSE)),ROUND(VLOOKUP("1.1",A6:R108,5,FALSE),4),0) - IF(ISNUMBER(VLOOKUP("1.1.4",A6:R108,5,FALSE)),ROUND(VLOOKUP("1.1.4",A6:R108,5,FALSE),4),0) - IF(ISNA(VLOOKUP("11.1.1",A6:R108,5,FALSE)),0,ROUND(VLOOKUP("11.1.1",A6:R108,5,FALSE),4)))</f>
        <v>0.12381874702747972</v>
      </c>
      <c r="F67" s="15">
        <f>((IF(ISNUMBER(VLOOKUP("1.1",A6:R108,6,FALSE)),ROUND(VLOOKUP("1.1",A6:R108,6,FALSE),4),0) - IF(ISNUMBER(VLOOKUP("9.1.1",A6:R108,6,FALSE)),ROUND(VLOOKUP("9.1.1",A6:R108,6,FALSE),4),0) - IF(ISNA(VLOOKUP("11.1.1",A6:R108,6,FALSE)),0,ROUND(VLOOKUP("11.1.1",A6:R108,6,FALSE),4))) + IF(ISNUMBER(VLOOKUP("1.2.1",A6:R108,6,FALSE)),ROUND(VLOOKUP("1.2.1",A6:R108,6,FALSE),4),0) - (IF(ISNUMBER(VLOOKUP("2.1",A6:R108,6,FALSE)),ROUND(VLOOKUP("2.1",A6:R108,6,FALSE),4),0) - IF(ISNUMBER(VLOOKUP("9.3.1",A6:R108,6,FALSE)),ROUND(VLOOKUP("9.3.1",A6:R108,6,FALSE),4),0) - IF(ISNUMBER(VLOOKUP("10.7.2.1.1",A6:R108,6,FALSE)),ROUND(VLOOKUP("10.7.2.1.1",A6:R108,6,FALSE),4),0) - IF(ISNUMBER(VLOOKUP("2.1.3",A6:R108,6,FALSE)),ROUND(VLOOKUP("2.1.3",A6:R108,6,FALSE),4),0) - IF(ISNA(VLOOKUP("10.11",A6:R108,6,FALSE)),0,ROUND(VLOOKUP("10.11",A6:R108,6,FALSE),4)))) / (IF(ISNUMBER(VLOOKUP("1.1",A6:R108,6,FALSE)),ROUND(VLOOKUP("1.1",A6:R108,6,FALSE),4),0) - IF(ISNUMBER(VLOOKUP("1.1.4",A6:R108,6,FALSE)),ROUND(VLOOKUP("1.1.4",A6:R108,6,FALSE),4),0) - IF(ISNA(VLOOKUP("11.1.1",A6:R108,6,FALSE)),0,ROUND(VLOOKUP("11.1.1",A6:R108,6,FALSE),4)))</f>
        <v>9.692476705161876E-2</v>
      </c>
      <c r="G67" s="15">
        <f>((IF(ISNUMBER(VLOOKUP("1.1",A6:R108,7,FALSE)),ROUND(VLOOKUP("1.1",A6:R108,7,FALSE),4),0) - IF(ISNUMBER(VLOOKUP("9.1.1",A6:R108,7,FALSE)),ROUND(VLOOKUP("9.1.1",A6:R108,7,FALSE),4),0) - IF(ISNA(VLOOKUP("11.1.1",A6:R108,7,FALSE)),0,ROUND(VLOOKUP("11.1.1",A6:R108,7,FALSE),4))) + IF(ISNUMBER(VLOOKUP("1.2.1",A6:R108,7,FALSE)),ROUND(VLOOKUP("1.2.1",A6:R108,7,FALSE),4),0) - (IF(ISNUMBER(VLOOKUP("2.1",A6:R108,7,FALSE)),ROUND(VLOOKUP("2.1",A6:R108,7,FALSE),4),0) - IF(ISNUMBER(VLOOKUP("9.3.1",A6:R108,7,FALSE)),ROUND(VLOOKUP("9.3.1",A6:R108,7,FALSE),4),0) - IF(ISNUMBER(VLOOKUP("10.7.2.1.1",A6:R108,7,FALSE)),ROUND(VLOOKUP("10.7.2.1.1",A6:R108,7,FALSE),4),0) - IF(ISNUMBER(VLOOKUP("2.1.3",A6:R108,7,FALSE)),ROUND(VLOOKUP("2.1.3",A6:R108,7,FALSE),4),0) - IF(ISNA(VLOOKUP("10.11",A6:R108,7,FALSE)),0,ROUND(VLOOKUP("10.11",A6:R108,7,FALSE),4)))) / (IF(ISNUMBER(VLOOKUP("1.1",A6:R108,7,FALSE)),ROUND(VLOOKUP("1.1",A6:R108,7,FALSE),4),0) - IF(ISNUMBER(VLOOKUP("1.1.4",A6:R108,7,FALSE)),ROUND(VLOOKUP("1.1.4",A6:R108,7,FALSE),4),0) - IF(ISNA(VLOOKUP("11.1.1",A6:R108,7,FALSE)),0,ROUND(VLOOKUP("11.1.1",A6:R108,7,FALSE),4)))</f>
        <v>0.11253229186720284</v>
      </c>
      <c r="H67" s="15">
        <f>((IF(ISNUMBER(VLOOKUP("1.1",A6:R108,8,FALSE)),ROUND(VLOOKUP("1.1",A6:R108,8,FALSE),4),0) - IF(ISNUMBER(VLOOKUP("9.1.1",A6:R108,8,FALSE)),ROUND(VLOOKUP("9.1.1",A6:R108,8,FALSE),4),0) - IF(ISNA(VLOOKUP("11.1.1",A6:R108,8,FALSE)),0,ROUND(VLOOKUP("11.1.1",A6:R108,8,FALSE),4))) + IF(ISNUMBER(VLOOKUP("1.2.1",A6:R108,8,FALSE)),ROUND(VLOOKUP("1.2.1",A6:R108,8,FALSE),4),0) - (IF(ISNUMBER(VLOOKUP("2.1",A6:R108,8,FALSE)),ROUND(VLOOKUP("2.1",A6:R108,8,FALSE),4),0) - IF(ISNUMBER(VLOOKUP("9.3.1",A6:R108,8,FALSE)),ROUND(VLOOKUP("9.3.1",A6:R108,8,FALSE),4),0) - IF(ISNUMBER(VLOOKUP("10.7.2.1.1",A6:R108,8,FALSE)),ROUND(VLOOKUP("10.7.2.1.1",A6:R108,8,FALSE),4),0) - IF(ISNUMBER(VLOOKUP("2.1.3",A6:R108,8,FALSE)),ROUND(VLOOKUP("2.1.3",A6:R108,8,FALSE),4),0) - IF(ISNA(VLOOKUP("10.11",A6:R108,8,FALSE)),0,ROUND(VLOOKUP("10.11",A6:R108,8,FALSE),4)))) / (IF(ISNUMBER(VLOOKUP("1.1",A6:R108,8,FALSE)),ROUND(VLOOKUP("1.1",A6:R108,8,FALSE),4),0) - IF(ISNUMBER(VLOOKUP("1.1.4",A6:R108,8,FALSE)),ROUND(VLOOKUP("1.1.4",A6:R108,8,FALSE),4),0) - IF(ISNA(VLOOKUP("11.1.1",A6:R108,8,FALSE)),0,ROUND(VLOOKUP("11.1.1",A6:R108,8,FALSE),4)))</f>
        <v>3.873813215729055E-2</v>
      </c>
      <c r="I67" s="15">
        <f>((IF(ISNUMBER(VLOOKUP("1.1",A6:R108,9,FALSE)),ROUND(VLOOKUP("1.1",A6:R108,9,FALSE),4),0) - IF(ISNUMBER(VLOOKUP("9.1.1",A6:R108,9,FALSE)),ROUND(VLOOKUP("9.1.1",A6:R108,9,FALSE),4),0) - IF(ISNA(VLOOKUP("11.1.1",A6:R108,9,FALSE)),0,ROUND(VLOOKUP("11.1.1",A6:R108,9,FALSE),4))) + IF(ISNUMBER(VLOOKUP("1.2.1",A6:R108,9,FALSE)),ROUND(VLOOKUP("1.2.1",A6:R108,9,FALSE),4),0) - (IF(ISNUMBER(VLOOKUP("2.1",A6:R108,9,FALSE)),ROUND(VLOOKUP("2.1",A6:R108,9,FALSE),4),0) - IF(ISNUMBER(VLOOKUP("9.3.1",A6:R108,9,FALSE)),ROUND(VLOOKUP("9.3.1",A6:R108,9,FALSE),4),0) - IF(ISNUMBER(VLOOKUP("10.7.2.1.1",A6:R108,9,FALSE)),ROUND(VLOOKUP("10.7.2.1.1",A6:R108,9,FALSE),4),0) - IF(ISNUMBER(VLOOKUP("2.1.3",A6:R108,9,FALSE)),ROUND(VLOOKUP("2.1.3",A6:R108,9,FALSE),4),0) - IF(ISNA(VLOOKUP("10.11",A6:R108,9,FALSE)),0,ROUND(VLOOKUP("10.11",A6:R108,9,FALSE),4)))) / (IF(ISNUMBER(VLOOKUP("1.1",A6:R108,9,FALSE)),ROUND(VLOOKUP("1.1",A6:R108,9,FALSE),4),0) - IF(ISNUMBER(VLOOKUP("1.1.4",A6:R108,9,FALSE)),ROUND(VLOOKUP("1.1.4",A6:R108,9,FALSE),4),0) - IF(ISNA(VLOOKUP("11.1.1",A6:R108,9,FALSE)),0,ROUND(VLOOKUP("11.1.1",A6:R108,9,FALSE),4)))</f>
        <v>9.9906380628145039E-2</v>
      </c>
      <c r="J67" s="15">
        <f>((IF(ISNUMBER(VLOOKUP("1.1",A6:R108,10,FALSE)),ROUND(VLOOKUP("1.1",A6:R108,10,FALSE),4),0) - IF(ISNUMBER(VLOOKUP("9.1.1",A6:R108,10,FALSE)),ROUND(VLOOKUP("9.1.1",A6:R108,10,FALSE),4),0) - IF(ISNA(VLOOKUP("11.1.1",A6:R108,10,FALSE)),0,ROUND(VLOOKUP("11.1.1",A6:R108,10,FALSE),4))) + IF(ISNUMBER(VLOOKUP("1.2.1",A6:R108,10,FALSE)),ROUND(VLOOKUP("1.2.1",A6:R108,10,FALSE),4),0) - (IF(ISNUMBER(VLOOKUP("2.1",A6:R108,10,FALSE)),ROUND(VLOOKUP("2.1",A6:R108,10,FALSE),4),0) - IF(ISNUMBER(VLOOKUP("9.3.1",A6:R108,10,FALSE)),ROUND(VLOOKUP("9.3.1",A6:R108,10,FALSE),4),0) - IF(ISNUMBER(VLOOKUP("10.7.2.1.1",A6:R108,10,FALSE)),ROUND(VLOOKUP("10.7.2.1.1",A6:R108,10,FALSE),4),0) - IF(ISNUMBER(VLOOKUP("2.1.3",A6:R108,10,FALSE)),ROUND(VLOOKUP("2.1.3",A6:R108,10,FALSE),4),0) - IF(ISNA(VLOOKUP("10.11",A6:R108,10,FALSE)),0,ROUND(VLOOKUP("10.11",A6:R108,10,FALSE),4)))) / (IF(ISNUMBER(VLOOKUP("1.1",A6:R108,10,FALSE)),ROUND(VLOOKUP("1.1",A6:R108,10,FALSE),4),0) - IF(ISNUMBER(VLOOKUP("1.1.4",A6:R108,10,FALSE)),ROUND(VLOOKUP("1.1.4",A6:R108,10,FALSE),4),0) - IF(ISNA(VLOOKUP("11.1.1",A6:R108,10,FALSE)),0,ROUND(VLOOKUP("11.1.1",A6:R108,10,FALSE),4)))</f>
        <v>0.14153827866944582</v>
      </c>
      <c r="K67" s="16">
        <f>((IF(ISNUMBER(VLOOKUP("1.1",A6:R108,11,FALSE)),ROUND(VLOOKUP("1.1",A6:R108,11,FALSE),4),0) - IF(ISNUMBER(VLOOKUP("9.1.1",A6:R108,11,FALSE)),ROUND(VLOOKUP("9.1.1",A6:R108,11,FALSE),4),0) - IF(ISNA(VLOOKUP("11.1.1",A6:R108,11,FALSE)),0,ROUND(VLOOKUP("11.1.1",A6:R108,11,FALSE),4))) + IF(ISNUMBER(VLOOKUP("1.2.1",A6:R108,11,FALSE)),ROUND(VLOOKUP("1.2.1",A6:R108,11,FALSE),4),0) - (IF(ISNUMBER(VLOOKUP("2.1",A6:R108,11,FALSE)),ROUND(VLOOKUP("2.1",A6:R108,11,FALSE),4),0) - IF(ISNUMBER(VLOOKUP("9.3.1",A6:R108,11,FALSE)),ROUND(VLOOKUP("9.3.1",A6:R108,11,FALSE),4),0) - IF(ISNUMBER(VLOOKUP("10.7.2.1.1",A6:R108,11,FALSE)),ROUND(VLOOKUP("10.7.2.1.1",A6:R108,11,FALSE),4),0) - IF(ISNUMBER(VLOOKUP("2.1.3",A6:R108,11,FALSE)),ROUND(VLOOKUP("2.1.3",A6:R108,11,FALSE),4),0) - IF(ISNA(VLOOKUP("10.11",A6:R108,11,FALSE)),0,ROUND(VLOOKUP("10.11",A6:R108,11,FALSE),4)))) / (IF(ISNUMBER(VLOOKUP("1.1",A6:R108,11,FALSE)),ROUND(VLOOKUP("1.1",A6:R108,11,FALSE),4),0) - IF(ISNUMBER(VLOOKUP("1.1.4",A6:R108,11,FALSE)),ROUND(VLOOKUP("1.1.4",A6:R108,11,FALSE),4),0) - IF(ISNA(VLOOKUP("11.1.1",A6:R108,11,FALSE)),0,ROUND(VLOOKUP("11.1.1",A6:R108,11,FALSE),4)))</f>
        <v>6.7467249186840536E-2</v>
      </c>
      <c r="L67" s="16">
        <f>((IF(ISNUMBER(VLOOKUP("1.1",A6:R108,12,FALSE)),ROUND(VLOOKUP("1.1",A6:R108,12,FALSE),4),0) - IF(ISNUMBER(VLOOKUP("9.1.1",A6:R108,12,FALSE)),ROUND(VLOOKUP("9.1.1",A6:R108,12,FALSE),4),0) - IF(ISNA(VLOOKUP("11.1.1",A6:R108,12,FALSE)),0,ROUND(VLOOKUP("11.1.1",A6:R108,12,FALSE),4))) + IF(ISNUMBER(VLOOKUP("1.2.1",A6:R108,12,FALSE)),ROUND(VLOOKUP("1.2.1",A6:R108,12,FALSE),4),0) - (IF(ISNUMBER(VLOOKUP("2.1",A6:R108,12,FALSE)),ROUND(VLOOKUP("2.1",A6:R108,12,FALSE),4),0) - IF(ISNUMBER(VLOOKUP("9.3.1",A6:R108,12,FALSE)),ROUND(VLOOKUP("9.3.1",A6:R108,12,FALSE),4),0) - IF(ISNUMBER(VLOOKUP("10.7.2.1.1",A6:R108,12,FALSE)),ROUND(VLOOKUP("10.7.2.1.1",A6:R108,12,FALSE),4),0) - IF(ISNUMBER(VLOOKUP("2.1.3",A6:R108,12,FALSE)),ROUND(VLOOKUP("2.1.3",A6:R108,12,FALSE),4),0) - IF(ISNA(VLOOKUP("10.11",A6:R108,12,FALSE)),0,ROUND(VLOOKUP("10.11",A6:R108,12,FALSE),4)))) / (IF(ISNUMBER(VLOOKUP("1.1",A6:R108,12,FALSE)),ROUND(VLOOKUP("1.1",A6:R108,12,FALSE),4),0) - IF(ISNUMBER(VLOOKUP("1.1.4",A6:R108,12,FALSE)),ROUND(VLOOKUP("1.1.4",A6:R108,12,FALSE),4),0) - IF(ISNA(VLOOKUP("11.1.1",A6:R108,12,FALSE)),0,ROUND(VLOOKUP("11.1.1",A6:R108,12,FALSE),4)))</f>
        <v>7.5658947180386862E-2</v>
      </c>
      <c r="M67" s="16">
        <f>((IF(ISNUMBER(VLOOKUP("1.1",A6:R108,13,FALSE)),ROUND(VLOOKUP("1.1",A6:R108,13,FALSE),4),0) - IF(ISNUMBER(VLOOKUP("9.1.1",A6:R108,13,FALSE)),ROUND(VLOOKUP("9.1.1",A6:R108,13,FALSE),4),0) - IF(ISNA(VLOOKUP("11.1.1",A6:R108,13,FALSE)),0,ROUND(VLOOKUP("11.1.1",A6:R108,13,FALSE),4))) + IF(ISNUMBER(VLOOKUP("1.2.1",A6:R108,13,FALSE)),ROUND(VLOOKUP("1.2.1",A6:R108,13,FALSE),4),0) - (IF(ISNUMBER(VLOOKUP("2.1",A6:R108,13,FALSE)),ROUND(VLOOKUP("2.1",A6:R108,13,FALSE),4),0) - IF(ISNUMBER(VLOOKUP("9.3.1",A6:R108,13,FALSE)),ROUND(VLOOKUP("9.3.1",A6:R108,13,FALSE),4),0) - IF(ISNUMBER(VLOOKUP("10.7.2.1.1",A6:R108,13,FALSE)),ROUND(VLOOKUP("10.7.2.1.1",A6:R108,13,FALSE),4),0) - IF(ISNUMBER(VLOOKUP("2.1.3",A6:R108,13,FALSE)),ROUND(VLOOKUP("2.1.3",A6:R108,13,FALSE),4),0) - IF(ISNA(VLOOKUP("10.11",A6:R108,13,FALSE)),0,ROUND(VLOOKUP("10.11",A6:R108,13,FALSE),4)))) / (IF(ISNUMBER(VLOOKUP("1.1",A6:R108,13,FALSE)),ROUND(VLOOKUP("1.1",A6:R108,13,FALSE),4),0) - IF(ISNUMBER(VLOOKUP("1.1.4",A6:R108,13,FALSE)),ROUND(VLOOKUP("1.1.4",A6:R108,13,FALSE),4),0) - IF(ISNA(VLOOKUP("11.1.1",A6:R108,13,FALSE)),0,ROUND(VLOOKUP("11.1.1",A6:R108,13,FALSE),4)))</f>
        <v>7.7370753585492127E-2</v>
      </c>
      <c r="N67" s="16">
        <f>((IF(ISNUMBER(VLOOKUP("1.1",A6:R108,14,FALSE)),ROUND(VLOOKUP("1.1",A6:R108,14,FALSE),4),0) - IF(ISNUMBER(VLOOKUP("9.1.1",A6:R108,14,FALSE)),ROUND(VLOOKUP("9.1.1",A6:R108,14,FALSE),4),0) - IF(ISNA(VLOOKUP("11.1.1",A6:R108,14,FALSE)),0,ROUND(VLOOKUP("11.1.1",A6:R108,14,FALSE),4))) + IF(ISNUMBER(VLOOKUP("1.2.1",A6:R108,14,FALSE)),ROUND(VLOOKUP("1.2.1",A6:R108,14,FALSE),4),0) - (IF(ISNUMBER(VLOOKUP("2.1",A6:R108,14,FALSE)),ROUND(VLOOKUP("2.1",A6:R108,14,FALSE),4),0) - IF(ISNUMBER(VLOOKUP("9.3.1",A6:R108,14,FALSE)),ROUND(VLOOKUP("9.3.1",A6:R108,14,FALSE),4),0) - IF(ISNUMBER(VLOOKUP("10.7.2.1.1",A6:R108,14,FALSE)),ROUND(VLOOKUP("10.7.2.1.1",A6:R108,14,FALSE),4),0) - IF(ISNUMBER(VLOOKUP("2.1.3",A6:R108,14,FALSE)),ROUND(VLOOKUP("2.1.3",A6:R108,14,FALSE),4),0) - IF(ISNA(VLOOKUP("10.11",A6:R108,14,FALSE)),0,ROUND(VLOOKUP("10.11",A6:R108,14,FALSE),4)))) / (IF(ISNUMBER(VLOOKUP("1.1",A6:R108,14,FALSE)),ROUND(VLOOKUP("1.1",A6:R108,14,FALSE),4),0) - IF(ISNUMBER(VLOOKUP("1.1.4",A6:R108,14,FALSE)),ROUND(VLOOKUP("1.1.4",A6:R108,14,FALSE),4),0) - IF(ISNA(VLOOKUP("11.1.1",A6:R108,14,FALSE)),0,ROUND(VLOOKUP("11.1.1",A6:R108,14,FALSE),4)))</f>
        <v>7.8754837111775999E-2</v>
      </c>
      <c r="O67" s="16">
        <f>((IF(ISNUMBER(VLOOKUP("1.1",A6:R108,15,FALSE)),ROUND(VLOOKUP("1.1",A6:R108,15,FALSE),4),0) - IF(ISNUMBER(VLOOKUP("9.1.1",A6:R108,15,FALSE)),ROUND(VLOOKUP("9.1.1",A6:R108,15,FALSE),4),0) - IF(ISNA(VLOOKUP("11.1.1",A6:R108,15,FALSE)),0,ROUND(VLOOKUP("11.1.1",A6:R108,15,FALSE),4))) + IF(ISNUMBER(VLOOKUP("1.2.1",A6:R108,15,FALSE)),ROUND(VLOOKUP("1.2.1",A6:R108,15,FALSE),4),0) - (IF(ISNUMBER(VLOOKUP("2.1",A6:R108,15,FALSE)),ROUND(VLOOKUP("2.1",A6:R108,15,FALSE),4),0) - IF(ISNUMBER(VLOOKUP("9.3.1",A6:R108,15,FALSE)),ROUND(VLOOKUP("9.3.1",A6:R108,15,FALSE),4),0) - IF(ISNUMBER(VLOOKUP("10.7.2.1.1",A6:R108,15,FALSE)),ROUND(VLOOKUP("10.7.2.1.1",A6:R108,15,FALSE),4),0) - IF(ISNUMBER(VLOOKUP("2.1.3",A6:R108,15,FALSE)),ROUND(VLOOKUP("2.1.3",A6:R108,15,FALSE),4),0) - IF(ISNA(VLOOKUP("10.11",A6:R108,15,FALSE)),0,ROUND(VLOOKUP("10.11",A6:R108,15,FALSE),4)))) / (IF(ISNUMBER(VLOOKUP("1.1",A6:R108,15,FALSE)),ROUND(VLOOKUP("1.1",A6:R108,15,FALSE),4),0) - IF(ISNUMBER(VLOOKUP("1.1.4",A6:R108,15,FALSE)),ROUND(VLOOKUP("1.1.4",A6:R108,15,FALSE),4),0) - IF(ISNA(VLOOKUP("11.1.1",A6:R108,15,FALSE)),0,ROUND(VLOOKUP("11.1.1",A6:R108,15,FALSE),4)))</f>
        <v>7.7734868356445941E-2</v>
      </c>
      <c r="P67" s="16">
        <f>((IF(ISNUMBER(VLOOKUP("1.1",A6:R108,16,FALSE)),ROUND(VLOOKUP("1.1",A6:R108,16,FALSE),4),0) - IF(ISNUMBER(VLOOKUP("9.1.1",A6:R108,16,FALSE)),ROUND(VLOOKUP("9.1.1",A6:R108,16,FALSE),4),0) - IF(ISNA(VLOOKUP("11.1.1",A6:R108,16,FALSE)),0,ROUND(VLOOKUP("11.1.1",A6:R108,16,FALSE),4))) + IF(ISNUMBER(VLOOKUP("1.2.1",A6:R108,16,FALSE)),ROUND(VLOOKUP("1.2.1",A6:R108,16,FALSE),4),0) - (IF(ISNUMBER(VLOOKUP("2.1",A6:R108,16,FALSE)),ROUND(VLOOKUP("2.1",A6:R108,16,FALSE),4),0) - IF(ISNUMBER(VLOOKUP("9.3.1",A6:R108,16,FALSE)),ROUND(VLOOKUP("9.3.1",A6:R108,16,FALSE),4),0) - IF(ISNUMBER(VLOOKUP("10.7.2.1.1",A6:R108,16,FALSE)),ROUND(VLOOKUP("10.7.2.1.1",A6:R108,16,FALSE),4),0) - IF(ISNUMBER(VLOOKUP("2.1.3",A6:R108,16,FALSE)),ROUND(VLOOKUP("2.1.3",A6:R108,16,FALSE),4),0) - IF(ISNA(VLOOKUP("10.11",A6:R108,16,FALSE)),0,ROUND(VLOOKUP("10.11",A6:R108,16,FALSE),4)))) / (IF(ISNUMBER(VLOOKUP("1.1",A6:R108,16,FALSE)),ROUND(VLOOKUP("1.1",A6:R108,16,FALSE),4),0) - IF(ISNUMBER(VLOOKUP("1.1.4",A6:R108,16,FALSE)),ROUND(VLOOKUP("1.1.4",A6:R108,16,FALSE),4),0) - IF(ISNA(VLOOKUP("11.1.1",A6:R108,16,FALSE)),0,ROUND(VLOOKUP("11.1.1",A6:R108,16,FALSE),4)))</f>
        <v>7.7021854005743129E-2</v>
      </c>
      <c r="Q67" s="16">
        <f>((IF(ISNUMBER(VLOOKUP("1.1",A6:R108,17,FALSE)),ROUND(VLOOKUP("1.1",A6:R108,17,FALSE),4),0) - IF(ISNUMBER(VLOOKUP("9.1.1",A6:R108,17,FALSE)),ROUND(VLOOKUP("9.1.1",A6:R108,17,FALSE),4),0) - IF(ISNA(VLOOKUP("11.1.1",A6:R108,17,FALSE)),0,ROUND(VLOOKUP("11.1.1",A6:R108,17,FALSE),4))) + IF(ISNUMBER(VLOOKUP("1.2.1",A6:R108,17,FALSE)),ROUND(VLOOKUP("1.2.1",A6:R108,17,FALSE),4),0) - (IF(ISNUMBER(VLOOKUP("2.1",A6:R108,17,FALSE)),ROUND(VLOOKUP("2.1",A6:R108,17,FALSE),4),0) - IF(ISNUMBER(VLOOKUP("9.3.1",A6:R108,17,FALSE)),ROUND(VLOOKUP("9.3.1",A6:R108,17,FALSE),4),0) - IF(ISNUMBER(VLOOKUP("10.7.2.1.1",A6:R108,17,FALSE)),ROUND(VLOOKUP("10.7.2.1.1",A6:R108,17,FALSE),4),0) - IF(ISNUMBER(VLOOKUP("2.1.3",A6:R108,17,FALSE)),ROUND(VLOOKUP("2.1.3",A6:R108,17,FALSE),4),0) - IF(ISNA(VLOOKUP("10.11",A6:R108,17,FALSE)),0,ROUND(VLOOKUP("10.11",A6:R108,17,FALSE),4)))) / (IF(ISNUMBER(VLOOKUP("1.1",A6:R108,17,FALSE)),ROUND(VLOOKUP("1.1",A6:R108,17,FALSE),4),0) - IF(ISNUMBER(VLOOKUP("1.1.4",A6:R108,17,FALSE)),ROUND(VLOOKUP("1.1.4",A6:R108,17,FALSE),4),0) - IF(ISNA(VLOOKUP("11.1.1",A6:R108,17,FALSE)),0,ROUND(VLOOKUP("11.1.1",A6:R108,17,FALSE),4)))</f>
        <v>7.7021857576738156E-2</v>
      </c>
      <c r="R67" s="16">
        <f>((IF(ISNUMBER(VLOOKUP("1.1",A6:R108,18,FALSE)),ROUND(VLOOKUP("1.1",A6:R108,18,FALSE),4),0) - IF(ISNUMBER(VLOOKUP("9.1.1",A6:R108,18,FALSE)),ROUND(VLOOKUP("9.1.1",A6:R108,18,FALSE),4),0) - IF(ISNA(VLOOKUP("11.1.1",A6:R108,18,FALSE)),0,ROUND(VLOOKUP("11.1.1",A6:R108,18,FALSE),4))) + IF(ISNUMBER(VLOOKUP("1.2.1",A6:R108,18,FALSE)),ROUND(VLOOKUP("1.2.1",A6:R108,18,FALSE),4),0) - (IF(ISNUMBER(VLOOKUP("2.1",A6:R108,18,FALSE)),ROUND(VLOOKUP("2.1",A6:R108,18,FALSE),4),0) - IF(ISNUMBER(VLOOKUP("9.3.1",A6:R108,18,FALSE)),ROUND(VLOOKUP("9.3.1",A6:R108,18,FALSE),4),0) - IF(ISNUMBER(VLOOKUP("10.7.2.1.1",A6:R108,18,FALSE)),ROUND(VLOOKUP("10.7.2.1.1",A6:R108,18,FALSE),4),0) - IF(ISNUMBER(VLOOKUP("2.1.3",A6:R108,18,FALSE)),ROUND(VLOOKUP("2.1.3",A6:R108,18,FALSE),4),0) - IF(ISNA(VLOOKUP("10.11",A6:R108,18,FALSE)),0,ROUND(VLOOKUP("10.11",A6:R108,18,FALSE),4)))) / (IF(ISNUMBER(VLOOKUP("1.1",A6:R108,18,FALSE)),ROUND(VLOOKUP("1.1",A6:R108,18,FALSE),4),0) - IF(ISNUMBER(VLOOKUP("1.1.4",A6:R108,18,FALSE)),ROUND(VLOOKUP("1.1.4",A6:R108,18,FALSE),4),0) - IF(ISNA(VLOOKUP("11.1.1",A6:R108,18,FALSE)),0,ROUND(VLOOKUP("11.1.1",A6:R108,18,FALSE),4)))</f>
        <v>7.7021854516733684E-2</v>
      </c>
    </row>
    <row r="68" spans="1:18" ht="51.75" customHeight="1" x14ac:dyDescent="0.3">
      <c r="A68" s="13" t="s">
        <v>136</v>
      </c>
      <c r="B68" s="14" t="s">
        <v>137</v>
      </c>
      <c r="C68" s="15">
        <f t="shared" ref="C68:J69" si="0">0.15</f>
        <v>0.15</v>
      </c>
      <c r="D68" s="15">
        <f t="shared" si="0"/>
        <v>0.15</v>
      </c>
      <c r="E68" s="15">
        <f t="shared" si="0"/>
        <v>0.15</v>
      </c>
      <c r="F68" s="15">
        <f t="shared" si="0"/>
        <v>0.15</v>
      </c>
      <c r="G68" s="15">
        <f t="shared" si="0"/>
        <v>0.15</v>
      </c>
      <c r="H68" s="15">
        <f t="shared" si="0"/>
        <v>0.15</v>
      </c>
      <c r="I68" s="15">
        <f t="shared" si="0"/>
        <v>0.15</v>
      </c>
      <c r="J68" s="15">
        <f t="shared" si="0"/>
        <v>0.15</v>
      </c>
      <c r="K68" s="16">
        <f>(IF(ISNUMBER(VLOOKUP("8.2.x",A6:R108,3,FALSE)),ROUND(VLOOKUP("8.2.x",A6:R108,3,FALSE),4),0)+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)/7</f>
        <v>9.3842857142857131E-2</v>
      </c>
      <c r="L68" s="16">
        <f>(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)/7</f>
        <v>9.2285714285714276E-2</v>
      </c>
      <c r="M68" s="16">
        <f>(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)/7</f>
        <v>8.71142857142857E-2</v>
      </c>
      <c r="N68" s="16">
        <f>(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)/7</f>
        <v>8.0157142857142843E-2</v>
      </c>
      <c r="O68" s="16">
        <f>(IF(ISNUMBER(VLOOKUP("8.2.x",A6:R108,7,FALSE)),ROUND(VLOOKUP("8.2.x",A6:R108,7,FALSE),4),0)+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)/7</f>
        <v>7.742857142857143E-2</v>
      </c>
      <c r="P68" s="16">
        <f>(IF(ISNUMBER(VLOOKUP("8.2.x",A6:R108,8,FALSE)),ROUND(VLOOKUP("8.2.x",A6:R108,8,FALSE),4),0)+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)/7</f>
        <v>7.2400000000000006E-2</v>
      </c>
      <c r="Q68" s="16">
        <f>(IF(ISNUMBER(VLOOKUP("8.2.x",A6:R108,9,FALSE)),ROUND(VLOOKUP("8.2.x",A6:R108,9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)/7</f>
        <v>7.7871428571428564E-2</v>
      </c>
      <c r="R68" s="16">
        <f>(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+IF(ISNUMBER(VLOOKUP("8.2",A6:R108,17,FALSE)),ROUND(VLOOKUP("8.2",A6:R108,17,FALSE),4),0))/7</f>
        <v>7.46E-2</v>
      </c>
    </row>
    <row r="69" spans="1:18" ht="52.5" customHeight="1" x14ac:dyDescent="0.3">
      <c r="A69" s="13" t="s">
        <v>138</v>
      </c>
      <c r="B69" s="14" t="s">
        <v>139</v>
      </c>
      <c r="C69" s="15">
        <f t="shared" si="0"/>
        <v>0.15</v>
      </c>
      <c r="D69" s="15">
        <f t="shared" si="0"/>
        <v>0.15</v>
      </c>
      <c r="E69" s="15">
        <f t="shared" si="0"/>
        <v>0.15</v>
      </c>
      <c r="F69" s="15">
        <f t="shared" si="0"/>
        <v>0.15</v>
      </c>
      <c r="G69" s="15">
        <f t="shared" si="0"/>
        <v>0.15</v>
      </c>
      <c r="H69" s="15">
        <f t="shared" si="0"/>
        <v>0.15</v>
      </c>
      <c r="I69" s="15">
        <f t="shared" si="0"/>
        <v>0.15</v>
      </c>
      <c r="J69" s="15">
        <f t="shared" si="0"/>
        <v>0.15</v>
      </c>
      <c r="K69" s="16">
        <f>(IF(ISNUMBER(VLOOKUP("8.2.x",A6:R108,3,FALSE)),ROUND(VLOOKUP("8.2.x",A6:R108,3,FALSE),4),0)+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)/7</f>
        <v>9.9785714285714269E-2</v>
      </c>
      <c r="L69" s="16">
        <f>(IF(ISNUMBER(VLOOKUP("8.2.x",A6:R108,4,FALSE)),ROUND(VLOOKUP("8.2.x",A6:R108,4,FALSE),4),0)+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)/7</f>
        <v>9.8228571428571415E-2</v>
      </c>
      <c r="M69" s="16">
        <f>(IF(ISNUMBER(VLOOKUP("8.2.x",A6:R108,5,FALSE)),ROUND(VLOOKUP("8.2.x",A6:R108,5,FALSE),4),0)+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)/7</f>
        <v>9.3057142857142852E-2</v>
      </c>
      <c r="N69" s="16">
        <f>(IF(ISNUMBER(VLOOKUP("8.2.x",A6:R108,6,FALSE)),ROUND(VLOOKUP("8.2.x",A6:R108,6,FALSE),4),0)+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)/7</f>
        <v>8.6099999999999996E-2</v>
      </c>
      <c r="O69" s="16">
        <f>(IF(ISNUMBER(VLOOKUP("8.2.x",A6:R108,7,FALSE)),ROUND(VLOOKUP("8.2.x",A6:R108,7,FALSE),4),0)+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)/7</f>
        <v>8.3371428571428569E-2</v>
      </c>
      <c r="P69" s="16">
        <f>(IF(ISNUMBER(VLOOKUP("8.2.x",A6:R108,8,FALSE)),ROUND(VLOOKUP("8.2.x",A6:R108,8,FALSE),4),0)+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)/7</f>
        <v>7.8342857142857145E-2</v>
      </c>
      <c r="Q69" s="16">
        <f>(IF(ISNUMBER(VLOOKUP("8.2.x",A6:R108,10,FALSE)),ROUND(VLOOKUP("8.2.x",A6:R108,10,FALSE),4),0)+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)/7</f>
        <v>8.3814285714285702E-2</v>
      </c>
      <c r="R69" s="16">
        <f>(IF(ISNUMBER(VLOOKUP("8.2",A6:R108,11,FALSE)),ROUND(VLOOKUP("8.2",A6:R108,11,FALSE),4),0)+IF(ISNUMBER(VLOOKUP("8.2",A6:R108,12,FALSE)),ROUND(VLOOKUP("8.2",A6:R108,12,FALSE),4),0)+IF(ISNUMBER(VLOOKUP("8.2",A6:R108,13,FALSE)),ROUND(VLOOKUP("8.2",A6:R108,13,FALSE),4),0)+IF(ISNUMBER(VLOOKUP("8.2",A6:R108,14,FALSE)),ROUND(VLOOKUP("8.2",A6:R108,14,FALSE),4),0)+IF(ISNUMBER(VLOOKUP("8.2",A6:R108,15,FALSE)),ROUND(VLOOKUP("8.2",A6:R108,15,FALSE),4),0)+IF(ISNUMBER(VLOOKUP("8.2",A6:R108,16,FALSE)),ROUND(VLOOKUP("8.2",A6:R108,16,FALSE),4),0)+IF(ISNUMBER(VLOOKUP("8.2",A6:R108,17,FALSE)),ROUND(VLOOKUP("8.2",A6:R108,17,FALSE),4),0))/7</f>
        <v>7.46E-2</v>
      </c>
    </row>
    <row r="70" spans="1:18" ht="60" customHeight="1" x14ac:dyDescent="0.3">
      <c r="A70" s="1" t="s">
        <v>140</v>
      </c>
      <c r="B70" s="2" t="s">
        <v>141</v>
      </c>
      <c r="C70" s="17" t="str">
        <f>IF(IF(ISNUMBER(VLOOKUP("8.1",A6:R108,3,FALSE)),ROUND(VLOOKUP("8.1",A6:R108,3,FALSE),4),0) - IF(ISNUMBER(VLOOKUP("8.3",A6:R108,3,FALSE)),ROUND(VLOOKUP("8.3",A6:R108,3,FALSE),4),0) &lt;= 0, "Tak", "Nie")</f>
        <v>Tak</v>
      </c>
      <c r="D70" s="17" t="str">
        <f>IF(IF(ISNUMBER(VLOOKUP("8.1",A6:R108,4,FALSE)),ROUND(VLOOKUP("8.1",A6:R108,4,FALSE),4),0) - IF(ISNUMBER(VLOOKUP("8.3",A6:R108,4,FALSE)),ROUND(VLOOKUP("8.3",A6:R108,4,FALSE),4),0) &lt;= 0, "Tak", "Nie")</f>
        <v>Tak</v>
      </c>
      <c r="E70" s="17" t="str">
        <f>IF(IF(ISNUMBER(VLOOKUP("8.1",A6:R108,5,FALSE)),ROUND(VLOOKUP("8.1",A6:R108,5,FALSE),4),0) - IF(ISNUMBER(VLOOKUP("8.3",A6:R108,5,FALSE)),ROUND(VLOOKUP("8.3",A6:R108,5,FALSE),4),0) &lt;= 0, "Tak", "Nie")</f>
        <v>Tak</v>
      </c>
      <c r="F70" s="17" t="str">
        <f>IF(IF(ISNUMBER(VLOOKUP("8.1",A6:R108,6,FALSE)),ROUND(VLOOKUP("8.1",A6:R108,6,FALSE),4),0) - IF(ISNUMBER(VLOOKUP("8.3",A6:R108,6,FALSE)),ROUND(VLOOKUP("8.3",A6:R108,6,FALSE),4),0) &lt;= 0, "Tak", "Nie")</f>
        <v>Tak</v>
      </c>
      <c r="G70" s="17" t="str">
        <f>IF(IF(ISNUMBER(VLOOKUP("8.1",A6:R108,7,FALSE)),ROUND(VLOOKUP("8.1",A6:R108,7,FALSE),4),0) - IF(ISNUMBER(VLOOKUP("8.3",A6:R108,7,FALSE)),ROUND(VLOOKUP("8.3",A6:R108,7,FALSE),4),0) &lt;= 0, "Tak", "Nie")</f>
        <v>Tak</v>
      </c>
      <c r="H70" s="17" t="str">
        <f>IF(IF(ISNUMBER(VLOOKUP("8.1",A6:R108,8,FALSE)),ROUND(VLOOKUP("8.1",A6:R108,8,FALSE),4),0) - IF(ISNUMBER(VLOOKUP("8.3",A6:R108,8,FALSE)),ROUND(VLOOKUP("8.3",A6:R108,8,FALSE),4),0) &lt;= 0, "Tak", "Nie")</f>
        <v>Tak</v>
      </c>
      <c r="I70" s="17" t="str">
        <f>IF(IF(ISNUMBER(VLOOKUP("8.1",A6:R108,9,FALSE)),ROUND(VLOOKUP("8.1",A6:R108,9,FALSE),4),0) - IF(ISNUMBER(VLOOKUP("8.3",A6:R108,9,FALSE)),ROUND(VLOOKUP("8.3",A6:R108,9,FALSE),4),0) &lt;= 0, "Tak", "Nie")</f>
        <v>Tak</v>
      </c>
      <c r="J70" s="17" t="str">
        <f>IF(IF(ISNUMBER(VLOOKUP("8.1",A6:R108,10,FALSE)),ROUND(VLOOKUP("8.1",A6:R108,10,FALSE),4),0) - IF(ISNUMBER(VLOOKUP("8.3",A6:R108,10,FALSE)),ROUND(VLOOKUP("8.3",A6:R108,10,FALSE),4),0) &lt;= 0, "Tak", "Nie")</f>
        <v>Tak</v>
      </c>
      <c r="K70" s="17" t="str">
        <f>IF(IF(ISNUMBER(VLOOKUP("8.1",A6:R108,11,FALSE)),ROUND(VLOOKUP("8.1",A6:R108,11,FALSE),4),0) - IF(ISNUMBER(VLOOKUP("8.3",A6:R108,11,FALSE)),ROUND(VLOOKUP("8.3",A6:R108,11,FALSE),4),0) &lt;= 0, "Tak", "Nie")</f>
        <v>Tak</v>
      </c>
      <c r="L70" s="17" t="str">
        <f>IF(IF(ISNUMBER(VLOOKUP("8.1",A6:R108,12,FALSE)),ROUND(VLOOKUP("8.1",A6:R108,12,FALSE),4),0) - IF(ISNUMBER(VLOOKUP("8.3",A6:R108,12,FALSE)),ROUND(VLOOKUP("8.3",A6:R108,12,FALSE),4),0) &lt;= 0, "Tak", "Nie")</f>
        <v>Tak</v>
      </c>
      <c r="M70" s="17" t="str">
        <f>IF(IF(ISNUMBER(VLOOKUP("8.1",A6:R108,13,FALSE)),ROUND(VLOOKUP("8.1",A6:R108,13,FALSE),4),0) - IF(ISNUMBER(VLOOKUP("8.3",A6:R108,13,FALSE)),ROUND(VLOOKUP("8.3",A6:R108,13,FALSE),4),0) &lt;= 0, "Tak", "Nie")</f>
        <v>Tak</v>
      </c>
      <c r="N70" s="17" t="str">
        <f>IF(IF(ISNUMBER(VLOOKUP("8.1",A6:R108,14,FALSE)),ROUND(VLOOKUP("8.1",A6:R108,14,FALSE),4),0) - IF(ISNUMBER(VLOOKUP("8.3",A6:R108,14,FALSE)),ROUND(VLOOKUP("8.3",A6:R108,14,FALSE),4),0) &lt;= 0, "Tak", "Nie")</f>
        <v>Tak</v>
      </c>
      <c r="O70" s="17" t="str">
        <f>IF(IF(ISNUMBER(VLOOKUP("8.1",A6:R108,15,FALSE)),ROUND(VLOOKUP("8.1",A6:R108,15,FALSE),4),0) - IF(ISNUMBER(VLOOKUP("8.3",A6:R108,15,FALSE)),ROUND(VLOOKUP("8.3",A6:R108,15,FALSE),4),0) &lt;= 0, "Tak", "Nie")</f>
        <v>Tak</v>
      </c>
      <c r="P70" s="17" t="str">
        <f>IF(IF(ISNUMBER(VLOOKUP("8.1",A6:R108,16,FALSE)),ROUND(VLOOKUP("8.1",A6:R108,16,FALSE),4),0) - IF(ISNUMBER(VLOOKUP("8.3",A6:R108,16,FALSE)),ROUND(VLOOKUP("8.3",A6:R108,16,FALSE),4),0) &lt;= 0, "Tak", "Nie")</f>
        <v>Tak</v>
      </c>
      <c r="Q70" s="17" t="str">
        <f>IF(IF(ISNUMBER(VLOOKUP("8.1",A6:R108,17,FALSE)),ROUND(VLOOKUP("8.1",A6:R108,17,FALSE),4),0) - IF(ISNUMBER(VLOOKUP("8.3",A6:R108,17,FALSE)),ROUND(VLOOKUP("8.3",A6:R108,17,FALSE),4),0) &lt;= 0, "Tak", "Nie")</f>
        <v>Tak</v>
      </c>
      <c r="R70" s="17" t="str">
        <f>IF(IF(ISNUMBER(VLOOKUP("8.1",A6:R108,18,FALSE)),ROUND(VLOOKUP("8.1",A6:R108,18,FALSE),4),0) - IF(ISNUMBER(VLOOKUP("8.3",A6:R108,18,FALSE)),ROUND(VLOOKUP("8.3",A6:R108,18,FALSE),4),0) &lt;= 0, "Tak", "Nie")</f>
        <v>Tak</v>
      </c>
    </row>
    <row r="71" spans="1:18" ht="54.75" customHeight="1" x14ac:dyDescent="0.3">
      <c r="A71" s="5" t="s">
        <v>142</v>
      </c>
      <c r="B71" s="6" t="s">
        <v>143</v>
      </c>
      <c r="C71" s="18" t="str">
        <f>IF(IF(ISNUMBER(VLOOKUP("8.1",A6:R108,3,FALSE)),ROUND(VLOOKUP("8.1",A6:R108,3,FALSE),4),0) - IF(ISNUMBER(VLOOKUP("8.3.1",A6:R108,3,FALSE)),ROUND(VLOOKUP("8.3.1",A6:R108,3,FALSE),4),0) &lt;= 0, "Tak", "Nie")</f>
        <v>Tak</v>
      </c>
      <c r="D71" s="18" t="str">
        <f>IF(IF(ISNUMBER(VLOOKUP("8.1",A6:R108,4,FALSE)),ROUND(VLOOKUP("8.1",A6:R108,4,FALSE),4),0) - IF(ISNUMBER(VLOOKUP("8.3.1",A6:R108,4,FALSE)),ROUND(VLOOKUP("8.3.1",A6:R108,4,FALSE),4),0) &lt;= 0, "Tak", "Nie")</f>
        <v>Tak</v>
      </c>
      <c r="E71" s="18" t="str">
        <f>IF(IF(ISNUMBER(VLOOKUP("8.1",A6:R108,5,FALSE)),ROUND(VLOOKUP("8.1",A6:R108,5,FALSE),4),0) - IF(ISNUMBER(VLOOKUP("8.3.1",A6:R108,5,FALSE)),ROUND(VLOOKUP("8.3.1",A6:R108,5,FALSE),4),0) &lt;= 0, "Tak", "Nie")</f>
        <v>Tak</v>
      </c>
      <c r="F71" s="18" t="str">
        <f>IF(IF(ISNUMBER(VLOOKUP("8.1",A6:R108,6,FALSE)),ROUND(VLOOKUP("8.1",A6:R108,6,FALSE),4),0) - IF(ISNUMBER(VLOOKUP("8.3.1",A6:R108,6,FALSE)),ROUND(VLOOKUP("8.3.1",A6:R108,6,FALSE),4),0) &lt;= 0, "Tak", "Nie")</f>
        <v>Tak</v>
      </c>
      <c r="G71" s="18" t="str">
        <f>IF(IF(ISNUMBER(VLOOKUP("8.1",A6:R108,7,FALSE)),ROUND(VLOOKUP("8.1",A6:R108,7,FALSE),4),0) - IF(ISNUMBER(VLOOKUP("8.3.1",A6:R108,7,FALSE)),ROUND(VLOOKUP("8.3.1",A6:R108,7,FALSE),4),0) &lt;= 0, "Tak", "Nie")</f>
        <v>Tak</v>
      </c>
      <c r="H71" s="18" t="str">
        <f>IF(IF(ISNUMBER(VLOOKUP("8.1",A6:R108,8,FALSE)),ROUND(VLOOKUP("8.1",A6:R108,8,FALSE),4),0) - IF(ISNUMBER(VLOOKUP("8.3.1",A6:R108,8,FALSE)),ROUND(VLOOKUP("8.3.1",A6:R108,8,FALSE),4),0) &lt;= 0, "Tak", "Nie")</f>
        <v>Tak</v>
      </c>
      <c r="I71" s="18" t="str">
        <f>IF(IF(ISNUMBER(VLOOKUP("8.1",A6:R108,9,FALSE)),ROUND(VLOOKUP("8.1",A6:R108,9,FALSE),4),0) - IF(ISNUMBER(VLOOKUP("8.3.1",A6:R108,9,FALSE)),ROUND(VLOOKUP("8.3.1",A6:R108,9,FALSE),4),0) &lt;= 0, "Tak", "Nie")</f>
        <v>Tak</v>
      </c>
      <c r="J71" s="18" t="str">
        <f>IF(IF(ISNUMBER(VLOOKUP("8.1",A6:R108,10,FALSE)),ROUND(VLOOKUP("8.1",A6:R108,10,FALSE),4),0) - IF(ISNUMBER(VLOOKUP("8.3.1",A6:R108,10,FALSE)),ROUND(VLOOKUP("8.3.1",A6:R108,10,FALSE),4),0) &lt;= 0, "Tak", "Nie")</f>
        <v>Tak</v>
      </c>
      <c r="K71" s="18" t="str">
        <f>IF(IF(ISNUMBER(VLOOKUP("8.1",A6:R108,11,FALSE)),ROUND(VLOOKUP("8.1",A6:R108,11,FALSE),4),0) - IF(ISNUMBER(VLOOKUP("8.3.1",A6:R108,11,FALSE)),ROUND(VLOOKUP("8.3.1",A6:R108,11,FALSE),4),0) &lt;= 0, "Tak", "Nie")</f>
        <v>Tak</v>
      </c>
      <c r="L71" s="18" t="str">
        <f>IF(IF(ISNUMBER(VLOOKUP("8.1",A6:R108,12,FALSE)),ROUND(VLOOKUP("8.1",A6:R108,12,FALSE),4),0) - IF(ISNUMBER(VLOOKUP("8.3.1",A6:R108,12,FALSE)),ROUND(VLOOKUP("8.3.1",A6:R108,12,FALSE),4),0) &lt;= 0, "Tak", "Nie")</f>
        <v>Tak</v>
      </c>
      <c r="M71" s="18" t="str">
        <f>IF(IF(ISNUMBER(VLOOKUP("8.1",A6:R108,13,FALSE)),ROUND(VLOOKUP("8.1",A6:R108,13,FALSE),4),0) - IF(ISNUMBER(VLOOKUP("8.3.1",A6:R108,13,FALSE)),ROUND(VLOOKUP("8.3.1",A6:R108,13,FALSE),4),0) &lt;= 0, "Tak", "Nie")</f>
        <v>Tak</v>
      </c>
      <c r="N71" s="18" t="str">
        <f>IF(IF(ISNUMBER(VLOOKUP("8.1",A6:R108,14,FALSE)),ROUND(VLOOKUP("8.1",A6:R108,14,FALSE),4),0) - IF(ISNUMBER(VLOOKUP("8.3.1",A6:R108,14,FALSE)),ROUND(VLOOKUP("8.3.1",A6:R108,14,FALSE),4),0) &lt;= 0, "Tak", "Nie")</f>
        <v>Tak</v>
      </c>
      <c r="O71" s="18" t="str">
        <f>IF(IF(ISNUMBER(VLOOKUP("8.1",A6:R108,15,FALSE)),ROUND(VLOOKUP("8.1",A6:R108,15,FALSE),4),0) - IF(ISNUMBER(VLOOKUP("8.3.1",A6:R108,15,FALSE)),ROUND(VLOOKUP("8.3.1",A6:R108,15,FALSE),4),0) &lt;= 0, "Tak", "Nie")</f>
        <v>Tak</v>
      </c>
      <c r="P71" s="18" t="str">
        <f>IF(IF(ISNUMBER(VLOOKUP("8.1",A6:R108,16,FALSE)),ROUND(VLOOKUP("8.1",A6:R108,16,FALSE),4),0) - IF(ISNUMBER(VLOOKUP("8.3.1",A6:R108,16,FALSE)),ROUND(VLOOKUP("8.3.1",A6:R108,16,FALSE),4),0) &lt;= 0, "Tak", "Nie")</f>
        <v>Tak</v>
      </c>
      <c r="Q71" s="18" t="str">
        <f>IF(IF(ISNUMBER(VLOOKUP("8.1",A6:R108,17,FALSE)),ROUND(VLOOKUP("8.1",A6:R108,17,FALSE),4),0) - IF(ISNUMBER(VLOOKUP("8.3.1",A6:R108,17,FALSE)),ROUND(VLOOKUP("8.3.1",A6:R108,17,FALSE),4),0) &lt;= 0, "Tak", "Nie")</f>
        <v>Tak</v>
      </c>
      <c r="R71" s="18" t="str">
        <f>IF(IF(ISNUMBER(VLOOKUP("8.1",A6:R108,18,FALSE)),ROUND(VLOOKUP("8.1",A6:R108,18,FALSE),4),0) - IF(ISNUMBER(VLOOKUP("8.3.1",A6:R108,18,FALSE)),ROUND(VLOOKUP("8.3.1",A6:R108,18,FALSE),4),0) &lt;= 0, "Tak", "Nie")</f>
        <v>Tak</v>
      </c>
    </row>
    <row r="72" spans="1:18" ht="45" customHeight="1" x14ac:dyDescent="0.3">
      <c r="A72" s="13" t="s">
        <v>144</v>
      </c>
      <c r="B72" s="14" t="s">
        <v>145</v>
      </c>
      <c r="C72" s="15">
        <f>IF(ISNUMBER(VLOOKUP("6",A6:R108,3,FALSE)),ROUND(VLOOKUP("6",A6:R108,3,FALSE),4),0) / (IF(ISNUMBER(VLOOKUP("1",A6:R108,3,FALSE)),ROUND(VLOOKUP("1",A6:R108,3,FALSE),4),0) - IF(ISNUMBER(VLOOKUP("1.1.4",A6:R108,3,FALSE)),ROUND(VLOOKUP("1.1.4",A6:R108,3,FALSE),4),0) - IF(ISNUMBER(VLOOKUP("1.2.2",A6:R108,3,FALSE)),ROUND(VLOOKUP("1.2.2",A6:R108,3,FALSE),4),0) + (IF(ISNUMBER(VLOOKUP("4.2",A6:R108,3,FALSE)),ROUND(VLOOKUP("4.2",A6:R108,3,FALSE),4),0) - IF(ISNUMBER(VLOOKUP("4.2.1",A6:R108,3,FALSE)),ROUND(VLOOKUP("4.2.1",A6:R108,3,FALSE),4),0)) + (IF(ISNUMBER(VLOOKUP("4.3",A6:R108,3,FALSE)),ROUND(VLOOKUP("4.3",A6:R108,3,FALSE),4),0) - IF(ISNUMBER(VLOOKUP("4.3.1",A6:R108,3,FALSE)),ROUND(VLOOKUP("4.3.1",A6:R108,3,FALSE),4),0)) + (IF(ISNUMBER(VLOOKUP("4.4",A6:R108,3,FALSE)),ROUND(VLOOKUP("4.4",A6:R108,3,FALSE),4),0) - IF(ISNUMBER(VLOOKUP("4.4.1",A6:R108,3,FALSE)),ROUND(VLOOKUP("4.4.1",A6:R108,3,FALSE),4),0)))</f>
        <v>0.20915502398158983</v>
      </c>
      <c r="D72" s="15">
        <f>IF(ISNUMBER(VLOOKUP("6",A6:R108,4,FALSE)),ROUND(VLOOKUP("6",A6:R108,4,FALSE),4),0) / (IF(ISNUMBER(VLOOKUP("1",A6:R108,4,FALSE)),ROUND(VLOOKUP("1",A6:R108,4,FALSE),4),0) - IF(ISNUMBER(VLOOKUP("1.1.4",A6:R108,4,FALSE)),ROUND(VLOOKUP("1.1.4",A6:R108,4,FALSE),4),0) - IF(ISNUMBER(VLOOKUP("1.2.2",A6:R108,4,FALSE)),ROUND(VLOOKUP("1.2.2",A6:R108,4,FALSE),4),0) + (IF(ISNUMBER(VLOOKUP("4.2",A6:R108,4,FALSE)),ROUND(VLOOKUP("4.2",A6:R108,4,FALSE),4),0) - IF(ISNUMBER(VLOOKUP("4.2.1",A6:R108,4,FALSE)),ROUND(VLOOKUP("4.2.1",A6:R108,4,FALSE),4),0)) + (IF(ISNUMBER(VLOOKUP("4.3",A6:R108,4,FALSE)),ROUND(VLOOKUP("4.3",A6:R108,4,FALSE),4),0) - IF(ISNUMBER(VLOOKUP("4.3.1",A6:R108,4,FALSE)),ROUND(VLOOKUP("4.3.1",A6:R108,4,FALSE),4),0)) + (IF(ISNUMBER(VLOOKUP("4.4",A6:R108,4,FALSE)),ROUND(VLOOKUP("4.4",A6:R108,4,FALSE),4),0) - IF(ISNUMBER(VLOOKUP("4.4.1",A6:R108,4,FALSE)),ROUND(VLOOKUP("4.4.1",A6:R108,4,FALSE),4),0)))</f>
        <v>0.14709816771325737</v>
      </c>
      <c r="E72" s="15">
        <f>IF(ISNUMBER(VLOOKUP("6",A6:R108,5,FALSE)),ROUND(VLOOKUP("6",A6:R108,5,FALSE),4),0) / (IF(ISNUMBER(VLOOKUP("1",A6:R108,5,FALSE)),ROUND(VLOOKUP("1",A6:R108,5,FALSE),4),0) - IF(ISNUMBER(VLOOKUP("1.1.4",A6:R108,5,FALSE)),ROUND(VLOOKUP("1.1.4",A6:R108,5,FALSE),4),0) - IF(ISNUMBER(VLOOKUP("1.2.2",A6:R108,5,FALSE)),ROUND(VLOOKUP("1.2.2",A6:R108,5,FALSE),4),0) + (IF(ISNUMBER(VLOOKUP("4.2",A6:R108,5,FALSE)),ROUND(VLOOKUP("4.2",A6:R108,5,FALSE),4),0) - IF(ISNUMBER(VLOOKUP("4.2.1",A6:R108,5,FALSE)),ROUND(VLOOKUP("4.2.1",A6:R108,5,FALSE),4),0)) + (IF(ISNUMBER(VLOOKUP("4.3",A6:R108,5,FALSE)),ROUND(VLOOKUP("4.3",A6:R108,5,FALSE),4),0) - IF(ISNUMBER(VLOOKUP("4.3.1",A6:R108,5,FALSE)),ROUND(VLOOKUP("4.3.1",A6:R108,5,FALSE),4),0)) + (IF(ISNUMBER(VLOOKUP("4.4",A6:R108,5,FALSE)),ROUND(VLOOKUP("4.4",A6:R108,5,FALSE),4),0) - IF(ISNUMBER(VLOOKUP("4.4.1",A6:R108,5,FALSE)),ROUND(VLOOKUP("4.4.1",A6:R108,5,FALSE),4),0)))</f>
        <v>0.10074455214910943</v>
      </c>
      <c r="F72" s="15">
        <f>IF(ISNUMBER(VLOOKUP("6",A6:R108,6,FALSE)),ROUND(VLOOKUP("6",A6:R108,6,FALSE),4),0) / (IF(ISNUMBER(VLOOKUP("1",A6:R108,6,FALSE)),ROUND(VLOOKUP("1",A6:R108,6,FALSE),4),0) - IF(ISNUMBER(VLOOKUP("1.1.4",A6:R108,6,FALSE)),ROUND(VLOOKUP("1.1.4",A6:R108,6,FALSE),4),0) - IF(ISNUMBER(VLOOKUP("1.2.2",A6:R108,6,FALSE)),ROUND(VLOOKUP("1.2.2",A6:R108,6,FALSE),4),0) + (IF(ISNUMBER(VLOOKUP("4.2",A6:R108,6,FALSE)),ROUND(VLOOKUP("4.2",A6:R108,6,FALSE),4),0) - IF(ISNUMBER(VLOOKUP("4.2.1",A6:R108,6,FALSE)),ROUND(VLOOKUP("4.2.1",A6:R108,6,FALSE),4),0)) + (IF(ISNUMBER(VLOOKUP("4.3",A6:R108,6,FALSE)),ROUND(VLOOKUP("4.3",A6:R108,6,FALSE),4),0) - IF(ISNUMBER(VLOOKUP("4.3.1",A6:R108,6,FALSE)),ROUND(VLOOKUP("4.3.1",A6:R108,6,FALSE),4),0)) + (IF(ISNUMBER(VLOOKUP("4.4",A6:R108,6,FALSE)),ROUND(VLOOKUP("4.4",A6:R108,6,FALSE),4),0) - IF(ISNUMBER(VLOOKUP("4.4.1",A6:R108,6,FALSE)),ROUND(VLOOKUP("4.4.1",A6:R108,6,FALSE),4),0)))</f>
        <v>7.1103494029092371E-2</v>
      </c>
      <c r="G72" s="15">
        <f>IF(ISNUMBER(VLOOKUP("6",A6:R108,7,FALSE)),ROUND(VLOOKUP("6",A6:R108,7,FALSE),4),0) / (IF(ISNUMBER(VLOOKUP("1",A6:R108,7,FALSE)),ROUND(VLOOKUP("1",A6:R108,7,FALSE),4),0) - IF(ISNUMBER(VLOOKUP("1.1.4",A6:R108,7,FALSE)),ROUND(VLOOKUP("1.1.4",A6:R108,7,FALSE),4),0) - IF(ISNUMBER(VLOOKUP("1.2.2",A6:R108,7,FALSE)),ROUND(VLOOKUP("1.2.2",A6:R108,7,FALSE),4),0) + (IF(ISNUMBER(VLOOKUP("4.2",A6:R108,7,FALSE)),ROUND(VLOOKUP("4.2",A6:R108,7,FALSE),4),0) - IF(ISNUMBER(VLOOKUP("4.2.1",A6:R108,7,FALSE)),ROUND(VLOOKUP("4.2.1",A6:R108,7,FALSE),4),0)) + (IF(ISNUMBER(VLOOKUP("4.3",A6:R108,7,FALSE)),ROUND(VLOOKUP("4.3",A6:R108,7,FALSE),4),0) - IF(ISNUMBER(VLOOKUP("4.3.1",A6:R108,7,FALSE)),ROUND(VLOOKUP("4.3.1",A6:R108,7,FALSE),4),0)) + (IF(ISNUMBER(VLOOKUP("4.4",A6:R108,7,FALSE)),ROUND(VLOOKUP("4.4",A6:R108,7,FALSE),4),0) - IF(ISNUMBER(VLOOKUP("4.4.1",A6:R108,7,FALSE)),ROUND(VLOOKUP("4.4.1",A6:R108,7,FALSE),4),0)))</f>
        <v>7.5341742207419932E-2</v>
      </c>
      <c r="H72" s="15">
        <f>IF(ISNUMBER(VLOOKUP("6",A6:R108,8,FALSE)),ROUND(VLOOKUP("6",A6:R108,8,FALSE),4),0) / (IF(ISNUMBER(VLOOKUP("1",A6:R108,8,FALSE)),ROUND(VLOOKUP("1",A6:R108,8,FALSE),4),0) - IF(ISNUMBER(VLOOKUP("1.1.4",A6:R108,8,FALSE)),ROUND(VLOOKUP("1.1.4",A6:R108,8,FALSE),4),0) - IF(ISNUMBER(VLOOKUP("1.2.2",A6:R108,8,FALSE)),ROUND(VLOOKUP("1.2.2",A6:R108,8,FALSE),4),0) + (IF(ISNUMBER(VLOOKUP("4.2",A6:R108,8,FALSE)),ROUND(VLOOKUP("4.2",A6:R108,8,FALSE),4),0) - IF(ISNUMBER(VLOOKUP("4.2.1",A6:R108,8,FALSE)),ROUND(VLOOKUP("4.2.1",A6:R108,8,FALSE),4),0)) + (IF(ISNUMBER(VLOOKUP("4.3",A6:R108,8,FALSE)),ROUND(VLOOKUP("4.3",A6:R108,8,FALSE),4),0) - IF(ISNUMBER(VLOOKUP("4.3.1",A6:R108,8,FALSE)),ROUND(VLOOKUP("4.3.1",A6:R108,8,FALSE),4),0)) + (IF(ISNUMBER(VLOOKUP("4.4",A6:R108,8,FALSE)),ROUND(VLOOKUP("4.4",A6:R108,8,FALSE),4),0) - IF(ISNUMBER(VLOOKUP("4.4.1",A6:R108,8,FALSE)),ROUND(VLOOKUP("4.4.1",A6:R108,8,FALSE),4),0)))</f>
        <v>0.11072747637779165</v>
      </c>
      <c r="I72" s="15">
        <f>IF(ISNUMBER(VLOOKUP("6",A6:R108,9,FALSE)),ROUND(VLOOKUP("6",A6:R108,9,FALSE),4),0) / (IF(ISNUMBER(VLOOKUP("1",A6:R108,9,FALSE)),ROUND(VLOOKUP("1",A6:R108,9,FALSE),4),0) - IF(ISNUMBER(VLOOKUP("1.1.4",A6:R108,9,FALSE)),ROUND(VLOOKUP("1.1.4",A6:R108,9,FALSE),4),0) - IF(ISNUMBER(VLOOKUP("1.2.2",A6:R108,9,FALSE)),ROUND(VLOOKUP("1.2.2",A6:R108,9,FALSE),4),0) + (IF(ISNUMBER(VLOOKUP("4.2",A6:R108,9,FALSE)),ROUND(VLOOKUP("4.2",A6:R108,9,FALSE),4),0) - IF(ISNUMBER(VLOOKUP("4.2.1",A6:R108,9,FALSE)),ROUND(VLOOKUP("4.2.1",A6:R108,9,FALSE),4),0)) + (IF(ISNUMBER(VLOOKUP("4.3",A6:R108,9,FALSE)),ROUND(VLOOKUP("4.3",A6:R108,9,FALSE),4),0) - IF(ISNUMBER(VLOOKUP("4.3.1",A6:R108,9,FALSE)),ROUND(VLOOKUP("4.3.1",A6:R108,9,FALSE),4),0)) + (IF(ISNUMBER(VLOOKUP("4.4",A6:R108,9,FALSE)),ROUND(VLOOKUP("4.4",A6:R108,9,FALSE),4),0) - IF(ISNUMBER(VLOOKUP("4.4.1",A6:R108,9,FALSE)),ROUND(VLOOKUP("4.4.1",A6:R108,9,FALSE),4),0)))</f>
        <v>0.11494919383817047</v>
      </c>
      <c r="J72" s="15">
        <f>IF(ISNUMBER(VLOOKUP("6",A6:R108,10,FALSE)),ROUND(VLOOKUP("6",A6:R108,10,FALSE),4),0) / (IF(ISNUMBER(VLOOKUP("1",A6:R108,10,FALSE)),ROUND(VLOOKUP("1",A6:R108,10,FALSE),4),0) - IF(ISNUMBER(VLOOKUP("1.1.4",A6:R108,10,FALSE)),ROUND(VLOOKUP("1.1.4",A6:R108,10,FALSE),4),0) - IF(ISNUMBER(VLOOKUP("1.2.2",A6:R108,10,FALSE)),ROUND(VLOOKUP("1.2.2",A6:R108,10,FALSE),4),0) + (IF(ISNUMBER(VLOOKUP("4.2",A6:R108,10,FALSE)),ROUND(VLOOKUP("4.2",A6:R108,10,FALSE),4),0) - IF(ISNUMBER(VLOOKUP("4.2.1",A6:R108,10,FALSE)),ROUND(VLOOKUP("4.2.1",A6:R108,10,FALSE),4),0)) + (IF(ISNUMBER(VLOOKUP("4.3",A6:R108,10,FALSE)),ROUND(VLOOKUP("4.3",A6:R108,10,FALSE),4),0) - IF(ISNUMBER(VLOOKUP("4.3.1",A6:R108,10,FALSE)),ROUND(VLOOKUP("4.3.1",A6:R108,10,FALSE),4),0)) + (IF(ISNUMBER(VLOOKUP("4.4",A6:R108,10,FALSE)),ROUND(VLOOKUP("4.4",A6:R108,10,FALSE),4),0) - IF(ISNUMBER(VLOOKUP("4.4.1",A6:R108,10,FALSE)),ROUND(VLOOKUP("4.4.1",A6:R108,10,FALSE),4),0)))</f>
        <v>0.10035335021377186</v>
      </c>
      <c r="K72" s="16">
        <f>IF(ISNUMBER(VLOOKUP("6",A6:R108,11,FALSE)),ROUND(VLOOKUP("6",A6:R108,11,FALSE),4),0) / (IF(ISNUMBER(VLOOKUP("1",A6:R108,11,FALSE)),ROUND(VLOOKUP("1",A6:R108,11,FALSE),4),0) - IF(ISNUMBER(VLOOKUP("1.1.4",A6:R108,11,FALSE)),ROUND(VLOOKUP("1.1.4",A6:R108,11,FALSE),4),0) - IF(ISNUMBER(VLOOKUP("1.2.2",A6:R108,11,FALSE)),ROUND(VLOOKUP("1.2.2",A6:R108,11,FALSE),4),0) + (IF(ISNUMBER(VLOOKUP("4.2",A6:R108,11,FALSE)),ROUND(VLOOKUP("4.2",A6:R108,11,FALSE),4),0) - IF(ISNUMBER(VLOOKUP("4.2.1",A6:R108,11,FALSE)),ROUND(VLOOKUP("4.2.1",A6:R108,11,FALSE),4),0)) + (IF(ISNUMBER(VLOOKUP("4.3",A6:R108,11,FALSE)),ROUND(VLOOKUP("4.3",A6:R108,11,FALSE),4),0) - IF(ISNUMBER(VLOOKUP("4.3.1",A6:R108,11,FALSE)),ROUND(VLOOKUP("4.3.1",A6:R108,11,FALSE),4),0)) + (IF(ISNUMBER(VLOOKUP("4.4",A6:R108,11,FALSE)),ROUND(VLOOKUP("4.4",A6:R108,11,FALSE),4),0) - IF(ISNUMBER(VLOOKUP("4.4.1",A6:R108,11,FALSE)),ROUND(VLOOKUP("4.4.1",A6:R108,11,FALSE),4),0)))</f>
        <v>8.5076713109138141E-2</v>
      </c>
      <c r="L72" s="16">
        <f>IF(ISNUMBER(VLOOKUP("6",A6:R108,12,FALSE)),ROUND(VLOOKUP("6",A6:R108,12,FALSE),4),0) / (IF(ISNUMBER(VLOOKUP("1",A6:R108,12,FALSE)),ROUND(VLOOKUP("1",A6:R108,12,FALSE),4),0) - IF(ISNUMBER(VLOOKUP("1.1.4",A6:R108,12,FALSE)),ROUND(VLOOKUP("1.1.4",A6:R108,12,FALSE),4),0) - IF(ISNUMBER(VLOOKUP("1.2.2",A6:R108,12,FALSE)),ROUND(VLOOKUP("1.2.2",A6:R108,12,FALSE),4),0) + (IF(ISNUMBER(VLOOKUP("4.2",A6:R108,12,FALSE)),ROUND(VLOOKUP("4.2",A6:R108,12,FALSE),4),0) - IF(ISNUMBER(VLOOKUP("4.2.1",A6:R108,12,FALSE)),ROUND(VLOOKUP("4.2.1",A6:R108,12,FALSE),4),0)) + (IF(ISNUMBER(VLOOKUP("4.3",A6:R108,12,FALSE)),ROUND(VLOOKUP("4.3",A6:R108,12,FALSE),4),0) - IF(ISNUMBER(VLOOKUP("4.3.1",A6:R108,12,FALSE)),ROUND(VLOOKUP("4.3.1",A6:R108,12,FALSE),4),0)) + (IF(ISNUMBER(VLOOKUP("4.4",A6:R108,12,FALSE)),ROUND(VLOOKUP("4.4",A6:R108,12,FALSE),4),0) - IF(ISNUMBER(VLOOKUP("4.4.1",A6:R108,12,FALSE)),ROUND(VLOOKUP("4.4.1",A6:R108,12,FALSE),4),0)))</f>
        <v>7.1153863869761233E-2</v>
      </c>
      <c r="M72" s="16">
        <f>IF(ISNUMBER(VLOOKUP("6",A6:R108,13,FALSE)),ROUND(VLOOKUP("6",A6:R108,13,FALSE),4),0) / (IF(ISNUMBER(VLOOKUP("1",A6:R108,13,FALSE)),ROUND(VLOOKUP("1",A6:R108,13,FALSE),4),0) - IF(ISNUMBER(VLOOKUP("1.1.4",A6:R108,13,FALSE)),ROUND(VLOOKUP("1.1.4",A6:R108,13,FALSE),4),0) - IF(ISNUMBER(VLOOKUP("1.2.2",A6:R108,13,FALSE)),ROUND(VLOOKUP("1.2.2",A6:R108,13,FALSE),4),0) + (IF(ISNUMBER(VLOOKUP("4.2",A6:R108,13,FALSE)),ROUND(VLOOKUP("4.2",A6:R108,13,FALSE),4),0) - IF(ISNUMBER(VLOOKUP("4.2.1",A6:R108,13,FALSE)),ROUND(VLOOKUP("4.2.1",A6:R108,13,FALSE),4),0)) + (IF(ISNUMBER(VLOOKUP("4.3",A6:R108,13,FALSE)),ROUND(VLOOKUP("4.3",A6:R108,13,FALSE),4),0) - IF(ISNUMBER(VLOOKUP("4.3.1",A6:R108,13,FALSE)),ROUND(VLOOKUP("4.3.1",A6:R108,13,FALSE),4),0)) + (IF(ISNUMBER(VLOOKUP("4.4",A6:R108,13,FALSE)),ROUND(VLOOKUP("4.4",A6:R108,13,FALSE),4),0) - IF(ISNUMBER(VLOOKUP("4.4.1",A6:R108,13,FALSE)),ROUND(VLOOKUP("4.4.1",A6:R108,13,FALSE),4),0)))</f>
        <v>5.6696419692555296E-2</v>
      </c>
      <c r="N72" s="16">
        <f>IF(ISNUMBER(VLOOKUP("6",A6:R108,14,FALSE)),ROUND(VLOOKUP("6",A6:R108,14,FALSE),4),0) / (IF(ISNUMBER(VLOOKUP("1",A6:R108,14,FALSE)),ROUND(VLOOKUP("1",A6:R108,14,FALSE),4),0) - IF(ISNUMBER(VLOOKUP("1.1.4",A6:R108,14,FALSE)),ROUND(VLOOKUP("1.1.4",A6:R108,14,FALSE),4),0) - IF(ISNUMBER(VLOOKUP("1.2.2",A6:R108,14,FALSE)),ROUND(VLOOKUP("1.2.2",A6:R108,14,FALSE),4),0) + (IF(ISNUMBER(VLOOKUP("4.2",A6:R108,14,FALSE)),ROUND(VLOOKUP("4.2",A6:R108,14,FALSE),4),0) - IF(ISNUMBER(VLOOKUP("4.2.1",A6:R108,14,FALSE)),ROUND(VLOOKUP("4.2.1",A6:R108,14,FALSE),4),0)) + (IF(ISNUMBER(VLOOKUP("4.3",A6:R108,14,FALSE)),ROUND(VLOOKUP("4.3",A6:R108,14,FALSE),4),0) - IF(ISNUMBER(VLOOKUP("4.3.1",A6:R108,14,FALSE)),ROUND(VLOOKUP("4.3.1",A6:R108,14,FALSE),4),0)) + (IF(ISNUMBER(VLOOKUP("4.4",A6:R108,14,FALSE)),ROUND(VLOOKUP("4.4",A6:R108,14,FALSE),4),0) - IF(ISNUMBER(VLOOKUP("4.4.1",A6:R108,14,FALSE)),ROUND(VLOOKUP("4.4.1",A6:R108,14,FALSE),4),0)))</f>
        <v>4.369815905315861E-2</v>
      </c>
      <c r="O72" s="16">
        <f>IF(ISNUMBER(VLOOKUP("6",A6:R108,15,FALSE)),ROUND(VLOOKUP("6",A6:R108,15,FALSE),4),0) / (IF(ISNUMBER(VLOOKUP("1",A6:R108,15,FALSE)),ROUND(VLOOKUP("1",A6:R108,15,FALSE),4),0) - IF(ISNUMBER(VLOOKUP("1.1.4",A6:R108,15,FALSE)),ROUND(VLOOKUP("1.1.4",A6:R108,15,FALSE),4),0) - IF(ISNUMBER(VLOOKUP("1.2.2",A6:R108,15,FALSE)),ROUND(VLOOKUP("1.2.2",A6:R108,15,FALSE),4),0) + (IF(ISNUMBER(VLOOKUP("4.2",A6:R108,15,FALSE)),ROUND(VLOOKUP("4.2",A6:R108,15,FALSE),4),0) - IF(ISNUMBER(VLOOKUP("4.2.1",A6:R108,15,FALSE)),ROUND(VLOOKUP("4.2.1",A6:R108,15,FALSE),4),0)) + (IF(ISNUMBER(VLOOKUP("4.3",A6:R108,15,FALSE)),ROUND(VLOOKUP("4.3",A6:R108,15,FALSE),4),0) - IF(ISNUMBER(VLOOKUP("4.3.1",A6:R108,15,FALSE)),ROUND(VLOOKUP("4.3.1",A6:R108,15,FALSE),4),0)) + (IF(ISNUMBER(VLOOKUP("4.4",A6:R108,15,FALSE)),ROUND(VLOOKUP("4.4",A6:R108,15,FALSE),4),0) - IF(ISNUMBER(VLOOKUP("4.4.1",A6:R108,15,FALSE)),ROUND(VLOOKUP("4.4.1",A6:R108,15,FALSE),4),0)))</f>
        <v>3.1437609767456853E-2</v>
      </c>
      <c r="P72" s="16">
        <f>IF(ISNUMBER(VLOOKUP("6",A6:R108,16,FALSE)),ROUND(VLOOKUP("6",A6:R108,16,FALSE),4),0) / (IF(ISNUMBER(VLOOKUP("1",A6:R108,16,FALSE)),ROUND(VLOOKUP("1",A6:R108,16,FALSE),4),0) - IF(ISNUMBER(VLOOKUP("1.1.4",A6:R108,16,FALSE)),ROUND(VLOOKUP("1.1.4",A6:R108,16,FALSE),4),0) - IF(ISNUMBER(VLOOKUP("1.2.2",A6:R108,16,FALSE)),ROUND(VLOOKUP("1.2.2",A6:R108,16,FALSE),4),0) + (IF(ISNUMBER(VLOOKUP("4.2",A6:R108,16,FALSE)),ROUND(VLOOKUP("4.2",A6:R108,16,FALSE),4),0) - IF(ISNUMBER(VLOOKUP("4.2.1",A6:R108,16,FALSE)),ROUND(VLOOKUP("4.2.1",A6:R108,16,FALSE),4),0)) + (IF(ISNUMBER(VLOOKUP("4.3",A6:R108,16,FALSE)),ROUND(VLOOKUP("4.3",A6:R108,16,FALSE),4),0) - IF(ISNUMBER(VLOOKUP("4.3.1",A6:R108,16,FALSE)),ROUND(VLOOKUP("4.3.1",A6:R108,16,FALSE),4),0)) + (IF(ISNUMBER(VLOOKUP("4.4",A6:R108,16,FALSE)),ROUND(VLOOKUP("4.4",A6:R108,16,FALSE),4),0) - IF(ISNUMBER(VLOOKUP("4.4.1",A6:R108,16,FALSE)),ROUND(VLOOKUP("4.4.1",A6:R108,16,FALSE),4),0)))</f>
        <v>1.9796471369250342E-2</v>
      </c>
      <c r="Q72" s="16">
        <f>IF(ISNUMBER(VLOOKUP("6",A6:R108,17,FALSE)),ROUND(VLOOKUP("6",A6:R108,17,FALSE),4),0) / (IF(ISNUMBER(VLOOKUP("1",A6:R108,17,FALSE)),ROUND(VLOOKUP("1",A6:R108,17,FALSE),4),0) - IF(ISNUMBER(VLOOKUP("1.1.4",A6:R108,17,FALSE)),ROUND(VLOOKUP("1.1.4",A6:R108,17,FALSE),4),0) - IF(ISNUMBER(VLOOKUP("1.2.2",A6:R108,17,FALSE)),ROUND(VLOOKUP("1.2.2",A6:R108,17,FALSE),4),0) + (IF(ISNUMBER(VLOOKUP("4.2",A6:R108,17,FALSE)),ROUND(VLOOKUP("4.2",A6:R108,17,FALSE),4),0) - IF(ISNUMBER(VLOOKUP("4.2.1",A6:R108,17,FALSE)),ROUND(VLOOKUP("4.2.1",A6:R108,17,FALSE),4),0)) + (IF(ISNUMBER(VLOOKUP("4.3",A6:R108,17,FALSE)),ROUND(VLOOKUP("4.3",A6:R108,17,FALSE),4),0) - IF(ISNUMBER(VLOOKUP("4.3.1",A6:R108,17,FALSE)),ROUND(VLOOKUP("4.3.1",A6:R108,17,FALSE),4),0)) + (IF(ISNUMBER(VLOOKUP("4.4",A6:R108,17,FALSE)),ROUND(VLOOKUP("4.4",A6:R108,17,FALSE),4),0) - IF(ISNUMBER(VLOOKUP("4.4.1",A6:R108,17,FALSE)),ROUND(VLOOKUP("4.4.1",A6:R108,17,FALSE),4),0)))</f>
        <v>9.6615282228156782E-3</v>
      </c>
      <c r="R72" s="16">
        <f>IF(ISNUMBER(VLOOKUP("6",A6:R108,18,FALSE)),ROUND(VLOOKUP("6",A6:R108,18,FALSE),4),0) / (IF(ISNUMBER(VLOOKUP("1",A6:R108,18,FALSE)),ROUND(VLOOKUP("1",A6:R108,18,FALSE),4),0) - IF(ISNUMBER(VLOOKUP("1.1.4",A6:R108,18,FALSE)),ROUND(VLOOKUP("1.1.4",A6:R108,18,FALSE),4),0) - IF(ISNUMBER(VLOOKUP("1.2.2",A6:R108,18,FALSE)),ROUND(VLOOKUP("1.2.2",A6:R108,18,FALSE),4),0) + (IF(ISNUMBER(VLOOKUP("4.2",A6:R108,18,FALSE)),ROUND(VLOOKUP("4.2",A6:R108,18,FALSE),4),0) - IF(ISNUMBER(VLOOKUP("4.2.1",A6:R108,18,FALSE)),ROUND(VLOOKUP("4.2.1",A6:R108,18,FALSE),4),0)) + (IF(ISNUMBER(VLOOKUP("4.3",A6:R108,18,FALSE)),ROUND(VLOOKUP("4.3",A6:R108,18,FALSE),4),0) - IF(ISNUMBER(VLOOKUP("4.3.1",A6:R108,18,FALSE)),ROUND(VLOOKUP("4.3.1",A6:R108,18,FALSE),4),0)) + (IF(ISNUMBER(VLOOKUP("4.4",A6:R108,18,FALSE)),ROUND(VLOOKUP("4.4",A6:R108,18,FALSE),4),0) - IF(ISNUMBER(VLOOKUP("4.4.1",A6:R108,18,FALSE)),ROUND(VLOOKUP("4.4.1",A6:R108,18,FALSE),4),0)))</f>
        <v>0</v>
      </c>
    </row>
    <row r="73" spans="1:18" ht="30" customHeight="1" x14ac:dyDescent="0.3">
      <c r="A73" s="1" t="s">
        <v>146</v>
      </c>
      <c r="B73" s="2" t="s">
        <v>147</v>
      </c>
      <c r="C73" s="29" t="s">
        <v>121</v>
      </c>
      <c r="D73" s="29" t="s">
        <v>121</v>
      </c>
      <c r="E73" s="29" t="s">
        <v>121</v>
      </c>
      <c r="F73" s="29" t="s">
        <v>121</v>
      </c>
      <c r="G73" s="29" t="s">
        <v>121</v>
      </c>
      <c r="H73" s="29" t="s">
        <v>121</v>
      </c>
      <c r="I73" s="29" t="s">
        <v>121</v>
      </c>
      <c r="J73" s="29" t="s">
        <v>121</v>
      </c>
      <c r="K73" s="30" t="s">
        <v>121</v>
      </c>
      <c r="L73" s="30" t="s">
        <v>121</v>
      </c>
      <c r="M73" s="30" t="s">
        <v>121</v>
      </c>
      <c r="N73" s="30" t="s">
        <v>121</v>
      </c>
      <c r="O73" s="30" t="s">
        <v>121</v>
      </c>
      <c r="P73" s="30" t="s">
        <v>121</v>
      </c>
      <c r="Q73" s="30" t="s">
        <v>121</v>
      </c>
      <c r="R73" s="30" t="s">
        <v>121</v>
      </c>
    </row>
    <row r="74" spans="1:18" ht="30" customHeight="1" x14ac:dyDescent="0.3">
      <c r="A74" s="5" t="s">
        <v>148</v>
      </c>
      <c r="B74" s="6" t="s">
        <v>149</v>
      </c>
      <c r="C74" s="7">
        <v>1047647.18</v>
      </c>
      <c r="D74" s="7">
        <v>1277431.42</v>
      </c>
      <c r="E74" s="7">
        <v>2323047.1</v>
      </c>
      <c r="F74" s="7">
        <v>2382589.33</v>
      </c>
      <c r="G74" s="7">
        <v>3104219.86</v>
      </c>
      <c r="H74" s="7">
        <v>1845828.46</v>
      </c>
      <c r="I74" s="7">
        <v>1488497</v>
      </c>
      <c r="J74" s="7">
        <v>2384134.27</v>
      </c>
      <c r="K74" s="8">
        <v>3115516</v>
      </c>
      <c r="L74" s="8">
        <v>4275068</v>
      </c>
      <c r="M74" s="8">
        <v>1613645</v>
      </c>
      <c r="N74" s="8">
        <v>642391</v>
      </c>
      <c r="O74" s="8">
        <v>233760</v>
      </c>
      <c r="P74" s="8">
        <v>0</v>
      </c>
      <c r="Q74" s="8">
        <v>0</v>
      </c>
      <c r="R74" s="8">
        <v>0</v>
      </c>
    </row>
    <row r="75" spans="1:18" ht="30" customHeight="1" x14ac:dyDescent="0.3">
      <c r="A75" s="5" t="s">
        <v>150</v>
      </c>
      <c r="B75" s="6" t="s">
        <v>151</v>
      </c>
      <c r="C75" s="7">
        <v>1047647.18</v>
      </c>
      <c r="D75" s="7">
        <v>1277431.42</v>
      </c>
      <c r="E75" s="7">
        <v>2323047.1</v>
      </c>
      <c r="F75" s="7">
        <v>2382589.33</v>
      </c>
      <c r="G75" s="7">
        <v>3104219.86</v>
      </c>
      <c r="H75" s="7">
        <v>1845828.46</v>
      </c>
      <c r="I75" s="7">
        <v>1488497</v>
      </c>
      <c r="J75" s="7">
        <v>2384134.27</v>
      </c>
      <c r="K75" s="8">
        <v>3115516</v>
      </c>
      <c r="L75" s="8">
        <v>4275068</v>
      </c>
      <c r="M75" s="8">
        <v>1613645</v>
      </c>
      <c r="N75" s="8">
        <v>642391</v>
      </c>
      <c r="O75" s="8">
        <v>233760</v>
      </c>
      <c r="P75" s="8">
        <v>0</v>
      </c>
      <c r="Q75" s="8">
        <v>0</v>
      </c>
      <c r="R75" s="8">
        <v>0</v>
      </c>
    </row>
    <row r="76" spans="1:18" ht="30" customHeight="1" x14ac:dyDescent="0.3">
      <c r="A76" s="5" t="s">
        <v>152</v>
      </c>
      <c r="B76" s="6" t="s">
        <v>153</v>
      </c>
      <c r="C76" s="7">
        <v>1034814.85</v>
      </c>
      <c r="D76" s="7">
        <v>1251624.33</v>
      </c>
      <c r="E76" s="7">
        <v>2096173.92</v>
      </c>
      <c r="F76" s="7">
        <v>2257078.39</v>
      </c>
      <c r="G76" s="7">
        <v>2906527.56</v>
      </c>
      <c r="H76" s="7">
        <v>1678885.68</v>
      </c>
      <c r="I76" s="7">
        <v>1443972</v>
      </c>
      <c r="J76" s="7">
        <v>2344513.7599999998</v>
      </c>
      <c r="K76" s="8">
        <v>3035653</v>
      </c>
      <c r="L76" s="8">
        <v>4115344</v>
      </c>
      <c r="M76" s="8">
        <v>1562627</v>
      </c>
      <c r="N76" s="8">
        <v>640596</v>
      </c>
      <c r="O76" s="8">
        <v>233760</v>
      </c>
      <c r="P76" s="8">
        <v>0</v>
      </c>
      <c r="Q76" s="8">
        <v>0</v>
      </c>
      <c r="R76" s="8">
        <v>0</v>
      </c>
    </row>
    <row r="77" spans="1:18" ht="30" customHeight="1" x14ac:dyDescent="0.3">
      <c r="A77" s="5" t="s">
        <v>154</v>
      </c>
      <c r="B77" s="6" t="s">
        <v>155</v>
      </c>
      <c r="C77" s="7">
        <v>3291022.34</v>
      </c>
      <c r="D77" s="7">
        <v>1217025.83</v>
      </c>
      <c r="E77" s="7">
        <v>4549417.3099999996</v>
      </c>
      <c r="F77" s="7">
        <v>1365624.17</v>
      </c>
      <c r="G77" s="7">
        <v>1095203.42</v>
      </c>
      <c r="H77" s="7">
        <v>39929.08</v>
      </c>
      <c r="I77" s="7">
        <v>578940</v>
      </c>
      <c r="J77" s="7">
        <v>579034.80000000005</v>
      </c>
      <c r="K77" s="8">
        <v>1150486</v>
      </c>
      <c r="L77" s="8">
        <v>7543478</v>
      </c>
      <c r="M77" s="8">
        <v>3588727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</row>
    <row r="78" spans="1:18" ht="30" customHeight="1" x14ac:dyDescent="0.3">
      <c r="A78" s="5" t="s">
        <v>156</v>
      </c>
      <c r="B78" s="6" t="s">
        <v>157</v>
      </c>
      <c r="C78" s="7">
        <v>3291022.34</v>
      </c>
      <c r="D78" s="7">
        <v>1217025.83</v>
      </c>
      <c r="E78" s="7">
        <v>4549417.3099999996</v>
      </c>
      <c r="F78" s="7">
        <v>1365624.17</v>
      </c>
      <c r="G78" s="7">
        <v>1095203.42</v>
      </c>
      <c r="H78" s="7">
        <v>39929.08</v>
      </c>
      <c r="I78" s="7">
        <v>578940</v>
      </c>
      <c r="J78" s="7">
        <v>579034.80000000005</v>
      </c>
      <c r="K78" s="8">
        <v>1150486</v>
      </c>
      <c r="L78" s="8">
        <v>7543478</v>
      </c>
      <c r="M78" s="8">
        <v>3588727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</row>
    <row r="79" spans="1:18" ht="30" customHeight="1" x14ac:dyDescent="0.3">
      <c r="A79" s="5" t="s">
        <v>158</v>
      </c>
      <c r="B79" s="6" t="s">
        <v>153</v>
      </c>
      <c r="C79" s="7">
        <v>3291022.34</v>
      </c>
      <c r="D79" s="7">
        <v>1217025.83</v>
      </c>
      <c r="E79" s="7">
        <v>4549417.3099999996</v>
      </c>
      <c r="F79" s="7">
        <v>1354072.17</v>
      </c>
      <c r="G79" s="7">
        <v>1029306.57</v>
      </c>
      <c r="H79" s="7">
        <v>33273.910000000003</v>
      </c>
      <c r="I79" s="7">
        <v>474731</v>
      </c>
      <c r="J79" s="7">
        <v>474808.54</v>
      </c>
      <c r="K79" s="8">
        <v>1146510</v>
      </c>
      <c r="L79" s="8">
        <v>7524678</v>
      </c>
      <c r="M79" s="8">
        <v>3588727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</row>
    <row r="80" spans="1:18" ht="30" customHeight="1" x14ac:dyDescent="0.3">
      <c r="A80" s="5" t="s">
        <v>159</v>
      </c>
      <c r="B80" s="6" t="s">
        <v>160</v>
      </c>
      <c r="C80" s="7">
        <v>1257647.48</v>
      </c>
      <c r="D80" s="7">
        <v>1371811.63</v>
      </c>
      <c r="E80" s="7">
        <v>2388170.33</v>
      </c>
      <c r="F80" s="7">
        <v>2524012.9500000002</v>
      </c>
      <c r="G80" s="7">
        <v>3370669.71</v>
      </c>
      <c r="H80" s="7">
        <v>1877258.73</v>
      </c>
      <c r="I80" s="7">
        <v>1488497</v>
      </c>
      <c r="J80" s="7">
        <v>2484400.38</v>
      </c>
      <c r="K80" s="8">
        <v>3115516</v>
      </c>
      <c r="L80" s="8">
        <v>4365068</v>
      </c>
      <c r="M80" s="8">
        <v>1703645</v>
      </c>
      <c r="N80" s="8">
        <v>732391</v>
      </c>
      <c r="O80" s="8">
        <v>266607</v>
      </c>
      <c r="P80" s="8">
        <v>0</v>
      </c>
      <c r="Q80" s="8">
        <v>0</v>
      </c>
      <c r="R80" s="8">
        <v>0</v>
      </c>
    </row>
    <row r="81" spans="1:18" ht="30" customHeight="1" x14ac:dyDescent="0.3">
      <c r="A81" s="5" t="s">
        <v>161</v>
      </c>
      <c r="B81" s="6" t="s">
        <v>162</v>
      </c>
      <c r="C81" s="7">
        <v>1257647.48</v>
      </c>
      <c r="D81" s="7">
        <v>1371811.63</v>
      </c>
      <c r="E81" s="7">
        <v>2388170.33</v>
      </c>
      <c r="F81" s="7">
        <v>2524012.9500000002</v>
      </c>
      <c r="G81" s="7">
        <v>3370669.71</v>
      </c>
      <c r="H81" s="7">
        <v>1877258.73</v>
      </c>
      <c r="I81" s="7">
        <v>1488497</v>
      </c>
      <c r="J81" s="7">
        <v>2484400.38</v>
      </c>
      <c r="K81" s="8">
        <v>3115516</v>
      </c>
      <c r="L81" s="8">
        <v>4365068</v>
      </c>
      <c r="M81" s="8">
        <v>1703645</v>
      </c>
      <c r="N81" s="8">
        <v>732391</v>
      </c>
      <c r="O81" s="8">
        <v>266607</v>
      </c>
      <c r="P81" s="8">
        <v>0</v>
      </c>
      <c r="Q81" s="8">
        <v>0</v>
      </c>
      <c r="R81" s="8">
        <v>0</v>
      </c>
    </row>
    <row r="82" spans="1:18" ht="30" customHeight="1" x14ac:dyDescent="0.3">
      <c r="A82" s="5" t="s">
        <v>163</v>
      </c>
      <c r="B82" s="6" t="s">
        <v>164</v>
      </c>
      <c r="C82" s="7">
        <v>1046455.03</v>
      </c>
      <c r="D82" s="7">
        <v>1187573.4099999999</v>
      </c>
      <c r="E82" s="7">
        <v>2040037.26</v>
      </c>
      <c r="F82" s="7">
        <v>2236732.9300000002</v>
      </c>
      <c r="G82" s="7">
        <v>2913270.76</v>
      </c>
      <c r="H82" s="7">
        <v>1663519.58</v>
      </c>
      <c r="I82" s="7">
        <v>1443972</v>
      </c>
      <c r="J82" s="7">
        <v>2438739.41</v>
      </c>
      <c r="K82" s="8">
        <v>3035652</v>
      </c>
      <c r="L82" s="8">
        <v>4115344</v>
      </c>
      <c r="M82" s="8">
        <v>1562627</v>
      </c>
      <c r="N82" s="8">
        <v>640596</v>
      </c>
      <c r="O82" s="8">
        <v>233760</v>
      </c>
      <c r="P82" s="8">
        <v>0</v>
      </c>
      <c r="Q82" s="8">
        <v>0</v>
      </c>
      <c r="R82" s="8">
        <v>0</v>
      </c>
    </row>
    <row r="83" spans="1:18" ht="30" customHeight="1" x14ac:dyDescent="0.3">
      <c r="A83" s="5" t="s">
        <v>165</v>
      </c>
      <c r="B83" s="6" t="s">
        <v>166</v>
      </c>
      <c r="C83" s="7">
        <v>7000455.5999999996</v>
      </c>
      <c r="D83" s="7">
        <v>3496357.52</v>
      </c>
      <c r="E83" s="7">
        <v>3654233.49</v>
      </c>
      <c r="F83" s="7">
        <v>1945702.49</v>
      </c>
      <c r="G83" s="7">
        <v>1215676.6200000001</v>
      </c>
      <c r="H83" s="7">
        <v>82698.240000000005</v>
      </c>
      <c r="I83" s="7">
        <v>578940</v>
      </c>
      <c r="J83" s="7">
        <v>579034.80000000005</v>
      </c>
      <c r="K83" s="8">
        <v>1377451</v>
      </c>
      <c r="L83" s="8">
        <v>8766708</v>
      </c>
      <c r="M83" s="8">
        <v>4222031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</row>
    <row r="84" spans="1:18" ht="30" customHeight="1" x14ac:dyDescent="0.3">
      <c r="A84" s="5" t="s">
        <v>167</v>
      </c>
      <c r="B84" s="6" t="s">
        <v>168</v>
      </c>
      <c r="C84" s="7">
        <v>7000455.5999999996</v>
      </c>
      <c r="D84" s="7">
        <v>3496357.52</v>
      </c>
      <c r="E84" s="7">
        <v>3654233.49</v>
      </c>
      <c r="F84" s="7">
        <v>1945702.49</v>
      </c>
      <c r="G84" s="7">
        <v>1215676.6200000001</v>
      </c>
      <c r="H84" s="7">
        <v>82698.240000000005</v>
      </c>
      <c r="I84" s="7">
        <v>578940</v>
      </c>
      <c r="J84" s="7">
        <v>579034.80000000005</v>
      </c>
      <c r="K84" s="8">
        <v>1377451</v>
      </c>
      <c r="L84" s="8">
        <v>8766708</v>
      </c>
      <c r="M84" s="8">
        <v>4222031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</row>
    <row r="85" spans="1:18" ht="30" customHeight="1" x14ac:dyDescent="0.3">
      <c r="A85" s="5" t="s">
        <v>169</v>
      </c>
      <c r="B85" s="6" t="s">
        <v>164</v>
      </c>
      <c r="C85" s="7">
        <v>4120027.55</v>
      </c>
      <c r="D85" s="7">
        <v>1567281.76</v>
      </c>
      <c r="E85" s="7">
        <v>2489537.44</v>
      </c>
      <c r="F85" s="7">
        <v>1361586.03</v>
      </c>
      <c r="G85" s="7">
        <v>938257.78</v>
      </c>
      <c r="H85" s="7">
        <v>33273.910000000003</v>
      </c>
      <c r="I85" s="7">
        <v>474731</v>
      </c>
      <c r="J85" s="7">
        <v>474808.54</v>
      </c>
      <c r="K85" s="8">
        <v>1146510</v>
      </c>
      <c r="L85" s="8">
        <v>7524678</v>
      </c>
      <c r="M85" s="8">
        <v>3588727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</row>
    <row r="86" spans="1:18" ht="30" customHeight="1" x14ac:dyDescent="0.3">
      <c r="A86" s="1" t="s">
        <v>170</v>
      </c>
      <c r="B86" s="2" t="s">
        <v>171</v>
      </c>
      <c r="C86" s="29" t="s">
        <v>121</v>
      </c>
      <c r="D86" s="29" t="s">
        <v>121</v>
      </c>
      <c r="E86" s="29" t="s">
        <v>121</v>
      </c>
      <c r="F86" s="29" t="s">
        <v>121</v>
      </c>
      <c r="G86" s="29" t="s">
        <v>121</v>
      </c>
      <c r="H86" s="29" t="s">
        <v>121</v>
      </c>
      <c r="I86" s="29" t="s">
        <v>121</v>
      </c>
      <c r="J86" s="29" t="s">
        <v>121</v>
      </c>
      <c r="K86" s="30" t="s">
        <v>121</v>
      </c>
      <c r="L86" s="30" t="s">
        <v>121</v>
      </c>
      <c r="M86" s="30" t="s">
        <v>121</v>
      </c>
      <c r="N86" s="30" t="s">
        <v>121</v>
      </c>
      <c r="O86" s="30" t="s">
        <v>121</v>
      </c>
      <c r="P86" s="30" t="s">
        <v>121</v>
      </c>
      <c r="Q86" s="30" t="s">
        <v>121</v>
      </c>
      <c r="R86" s="30" t="s">
        <v>121</v>
      </c>
    </row>
    <row r="87" spans="1:18" ht="30" customHeight="1" x14ac:dyDescent="0.3">
      <c r="A87" s="5" t="s">
        <v>172</v>
      </c>
      <c r="B87" s="6" t="s">
        <v>173</v>
      </c>
      <c r="C87" s="9">
        <f>IF(ISNUMBER(VLOOKUP("10.1.1",A6:R108,3,FALSE)),ROUND(VLOOKUP("10.1.1",A6:R108,3,FALSE),4),0) + IF(ISNUMBER(VLOOKUP("10.1.2",A6:R108,3,FALSE)),ROUND(VLOOKUP("10.1.2",A6:R108,3,FALSE),4),0)</f>
        <v>2882769.01</v>
      </c>
      <c r="D87" s="9">
        <f>IF(ISNUMBER(VLOOKUP("10.1.1",A6:R108,4,FALSE)),ROUND(VLOOKUP("10.1.1",A6:R108,4,FALSE),4),0) + IF(ISNUMBER(VLOOKUP("10.1.2",A6:R108,4,FALSE)),ROUND(VLOOKUP("10.1.2",A6:R108,4,FALSE),4),0)</f>
        <v>4855682.74</v>
      </c>
      <c r="E87" s="9">
        <f>IF(ISNUMBER(VLOOKUP("10.1.1",A6:R108,5,FALSE)),ROUND(VLOOKUP("10.1.1",A6:R108,5,FALSE),4),0) + IF(ISNUMBER(VLOOKUP("10.1.2",A6:R108,5,FALSE)),ROUND(VLOOKUP("10.1.2",A6:R108,5,FALSE),4),0)</f>
        <v>6339599.1100000003</v>
      </c>
      <c r="F87" s="9">
        <f>IF(ISNUMBER(VLOOKUP("10.1.1",A6:R108,6,FALSE)),ROUND(VLOOKUP("10.1.1",A6:R108,6,FALSE),4),0) + IF(ISNUMBER(VLOOKUP("10.1.2",A6:R108,6,FALSE)),ROUND(VLOOKUP("10.1.2",A6:R108,6,FALSE),4),0)</f>
        <v>10120511</v>
      </c>
      <c r="G87" s="9">
        <f>IF(ISNUMBER(VLOOKUP("10.1.1",A6:R108,7,FALSE)),ROUND(VLOOKUP("10.1.1",A6:R108,7,FALSE),4),0) + IF(ISNUMBER(VLOOKUP("10.1.2",A6:R108,7,FALSE)),ROUND(VLOOKUP("10.1.2",A6:R108,7,FALSE),4),0)</f>
        <v>12987912</v>
      </c>
      <c r="H87" s="9">
        <f>IF(ISNUMBER(VLOOKUP("10.1.1",A6:R108,8,FALSE)),ROUND(VLOOKUP("10.1.1",A6:R108,8,FALSE),4),0) + IF(ISNUMBER(VLOOKUP("10.1.2",A6:R108,8,FALSE)),ROUND(VLOOKUP("10.1.2",A6:R108,8,FALSE),4),0)</f>
        <v>22822592</v>
      </c>
      <c r="I87" s="9">
        <f>IF(ISNUMBER(VLOOKUP("10.1.1",A6:R108,9,FALSE)),ROUND(VLOOKUP("10.1.1",A6:R108,9,FALSE),4),0) + IF(ISNUMBER(VLOOKUP("10.1.2",A6:R108,9,FALSE)),ROUND(VLOOKUP("10.1.2",A6:R108,9,FALSE),4),0)</f>
        <v>0</v>
      </c>
      <c r="J87" s="9">
        <f>IF(ISNUMBER(VLOOKUP("10.1.1",A6:R108,10,FALSE)),ROUND(VLOOKUP("10.1.1",A6:R108,10,FALSE),4),0) + IF(ISNUMBER(VLOOKUP("10.1.2",A6:R108,10,FALSE)),ROUND(VLOOKUP("10.1.2",A6:R108,10,FALSE),4),0)</f>
        <v>32334321</v>
      </c>
      <c r="K87" s="10">
        <f>IF(ISNUMBER(VLOOKUP("10.1.1",A6:R108,11,FALSE)),ROUND(VLOOKUP("10.1.1",A6:R108,11,FALSE),4),0) + IF(ISNUMBER(VLOOKUP("10.1.2",A6:R108,11,FALSE)),ROUND(VLOOKUP("10.1.2",A6:R108,11,FALSE),4),0)</f>
        <v>18948138</v>
      </c>
      <c r="L87" s="10">
        <f>IF(ISNUMBER(VLOOKUP("10.1.1",A6:R108,12,FALSE)),ROUND(VLOOKUP("10.1.1",A6:R108,12,FALSE),4),0) + IF(ISNUMBER(VLOOKUP("10.1.2",A6:R108,12,FALSE)),ROUND(VLOOKUP("10.1.2",A6:R108,12,FALSE),4),0)</f>
        <v>13321196</v>
      </c>
      <c r="M87" s="10">
        <f>IF(ISNUMBER(VLOOKUP("10.1.1",A6:R108,13,FALSE)),ROUND(VLOOKUP("10.1.1",A6:R108,13,FALSE),4),0) + IF(ISNUMBER(VLOOKUP("10.1.2",A6:R108,13,FALSE)),ROUND(VLOOKUP("10.1.2",A6:R108,13,FALSE),4),0)</f>
        <v>5925676</v>
      </c>
      <c r="N87" s="10">
        <f>IF(ISNUMBER(VLOOKUP("10.1.1",A6:R108,14,FALSE)),ROUND(VLOOKUP("10.1.1",A6:R108,14,FALSE),4),0) + IF(ISNUMBER(VLOOKUP("10.1.2",A6:R108,14,FALSE)),ROUND(VLOOKUP("10.1.2",A6:R108,14,FALSE),4),0)</f>
        <v>732391</v>
      </c>
      <c r="O87" s="10">
        <f>IF(ISNUMBER(VLOOKUP("10.1.1",A6:R108,15,FALSE)),ROUND(VLOOKUP("10.1.1",A6:R108,15,FALSE),4),0) + IF(ISNUMBER(VLOOKUP("10.1.2",A6:R108,15,FALSE)),ROUND(VLOOKUP("10.1.2",A6:R108,15,FALSE),4),0)</f>
        <v>266607</v>
      </c>
      <c r="P87" s="10">
        <f>IF(ISNUMBER(VLOOKUP("10.1.1",A6:R108,16,FALSE)),ROUND(VLOOKUP("10.1.1",A6:R108,16,FALSE),4),0) + IF(ISNUMBER(VLOOKUP("10.1.2",A6:R108,16,FALSE)),ROUND(VLOOKUP("10.1.2",A6:R108,16,FALSE),4),0)</f>
        <v>0</v>
      </c>
      <c r="Q87" s="10">
        <f>IF(ISNUMBER(VLOOKUP("10.1.1",A6:R108,17,FALSE)),ROUND(VLOOKUP("10.1.1",A6:R108,17,FALSE),4),0) + IF(ISNUMBER(VLOOKUP("10.1.2",A6:R108,17,FALSE)),ROUND(VLOOKUP("10.1.2",A6:R108,17,FALSE),4),0)</f>
        <v>0</v>
      </c>
      <c r="R87" s="10">
        <f>IF(ISNUMBER(VLOOKUP("10.1.1",A6:R108,18,FALSE)),ROUND(VLOOKUP("10.1.1",A6:R108,18,FALSE),4),0) + IF(ISNUMBER(VLOOKUP("10.1.2",A6:R108,18,FALSE)),ROUND(VLOOKUP("10.1.2",A6:R108,18,FALSE),4),0)</f>
        <v>0</v>
      </c>
    </row>
    <row r="88" spans="1:18" ht="30" customHeight="1" x14ac:dyDescent="0.3">
      <c r="A88" s="5" t="s">
        <v>174</v>
      </c>
      <c r="B88" s="6" t="s">
        <v>175</v>
      </c>
      <c r="C88" s="9">
        <v>1130312.43</v>
      </c>
      <c r="D88" s="9">
        <v>1359325.22</v>
      </c>
      <c r="E88" s="9">
        <v>1029841.42</v>
      </c>
      <c r="F88" s="9">
        <v>4123525</v>
      </c>
      <c r="G88" s="9">
        <v>4141231</v>
      </c>
      <c r="H88" s="9">
        <v>1909303</v>
      </c>
      <c r="I88" s="9">
        <v>0</v>
      </c>
      <c r="J88" s="9">
        <v>2748299</v>
      </c>
      <c r="K88" s="10">
        <v>2993163</v>
      </c>
      <c r="L88" s="10">
        <v>4554488</v>
      </c>
      <c r="M88" s="10">
        <v>1703645</v>
      </c>
      <c r="N88" s="10">
        <v>732391</v>
      </c>
      <c r="O88" s="10">
        <v>266607</v>
      </c>
      <c r="P88" s="10">
        <v>0</v>
      </c>
      <c r="Q88" s="10">
        <v>0</v>
      </c>
      <c r="R88" s="10">
        <v>0</v>
      </c>
    </row>
    <row r="89" spans="1:18" ht="30" customHeight="1" x14ac:dyDescent="0.3">
      <c r="A89" s="5" t="s">
        <v>176</v>
      </c>
      <c r="B89" s="6" t="s">
        <v>177</v>
      </c>
      <c r="C89" s="9">
        <v>1752456.58</v>
      </c>
      <c r="D89" s="9">
        <v>3496357.52</v>
      </c>
      <c r="E89" s="9">
        <v>5309757.6900000004</v>
      </c>
      <c r="F89" s="9">
        <v>5996986</v>
      </c>
      <c r="G89" s="9">
        <v>8846681</v>
      </c>
      <c r="H89" s="9">
        <v>20913289</v>
      </c>
      <c r="I89" s="9">
        <v>0</v>
      </c>
      <c r="J89" s="9">
        <v>29586022</v>
      </c>
      <c r="K89" s="10">
        <v>15954975</v>
      </c>
      <c r="L89" s="10">
        <v>8766708</v>
      </c>
      <c r="M89" s="10">
        <v>4222031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</row>
    <row r="90" spans="1:18" ht="30" customHeight="1" x14ac:dyDescent="0.3">
      <c r="A90" s="5" t="s">
        <v>178</v>
      </c>
      <c r="B90" s="6" t="s">
        <v>179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</row>
    <row r="91" spans="1:18" ht="30" customHeight="1" x14ac:dyDescent="0.3">
      <c r="A91" s="5" t="s">
        <v>180</v>
      </c>
      <c r="B91" s="6" t="s">
        <v>181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</row>
    <row r="92" spans="1:18" ht="38.25" customHeight="1" x14ac:dyDescent="0.3">
      <c r="A92" s="5" t="s">
        <v>182</v>
      </c>
      <c r="B92" s="6" t="s">
        <v>183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</row>
    <row r="93" spans="1:18" ht="30" customHeight="1" x14ac:dyDescent="0.3">
      <c r="A93" s="5" t="s">
        <v>184</v>
      </c>
      <c r="B93" s="6" t="s">
        <v>185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</row>
    <row r="94" spans="1:18" ht="30" customHeight="1" x14ac:dyDescent="0.3">
      <c r="A94" s="5" t="s">
        <v>186</v>
      </c>
      <c r="B94" s="6" t="s">
        <v>187</v>
      </c>
      <c r="C94" s="9">
        <v>1935000</v>
      </c>
      <c r="D94" s="9">
        <v>2185000</v>
      </c>
      <c r="E94" s="9">
        <v>2320000</v>
      </c>
      <c r="F94" s="9">
        <v>1222500</v>
      </c>
      <c r="G94" s="9">
        <v>1222500</v>
      </c>
      <c r="H94" s="9">
        <v>1322500</v>
      </c>
      <c r="I94" s="9">
        <v>1422500</v>
      </c>
      <c r="J94" s="9">
        <v>1422500</v>
      </c>
      <c r="K94" s="10">
        <v>1560000</v>
      </c>
      <c r="L94" s="10">
        <v>1560000</v>
      </c>
      <c r="M94" s="10">
        <v>1485000</v>
      </c>
      <c r="N94" s="10">
        <v>1375000</v>
      </c>
      <c r="O94" s="10">
        <v>1375000</v>
      </c>
      <c r="P94" s="10">
        <v>1375000</v>
      </c>
      <c r="Q94" s="10">
        <v>1250000</v>
      </c>
      <c r="R94" s="10">
        <v>1250000</v>
      </c>
    </row>
    <row r="95" spans="1:18" ht="30" customHeight="1" x14ac:dyDescent="0.3">
      <c r="A95" s="5" t="s">
        <v>188</v>
      </c>
      <c r="B95" s="6" t="s">
        <v>189</v>
      </c>
      <c r="C95" s="9">
        <f>IF(ISNUMBER(VLOOKUP("10.7.1",A6:R108,3,FALSE)),ROUND(VLOOKUP("10.7.1",A6:R108,3,FALSE),4),0) + IF(ISNUMBER(VLOOKUP("10.7.2",A6:R108,3,FALSE)),ROUND(VLOOKUP("10.7.2",A6:R108,3,FALSE),4),0) + IF(ISNUMBER(VLOOKUP("10.7.3",A6:R108,3,FALSE)),ROUND(VLOOKUP("10.7.3",A6:R108,3,FALSE),4),0)</f>
        <v>0</v>
      </c>
      <c r="D95" s="9">
        <f>IF(ISNUMBER(VLOOKUP("10.7.1",A6:R108,4,FALSE)),ROUND(VLOOKUP("10.7.1",A6:R108,4,FALSE),4),0) + IF(ISNUMBER(VLOOKUP("10.7.2",A6:R108,4,FALSE)),ROUND(VLOOKUP("10.7.2",A6:R108,4,FALSE),4),0) + IF(ISNUMBER(VLOOKUP("10.7.3",A6:R108,4,FALSE)),ROUND(VLOOKUP("10.7.3",A6:R108,4,FALSE),4),0)</f>
        <v>0</v>
      </c>
      <c r="E95" s="9">
        <f>IF(ISNUMBER(VLOOKUP("10.7.1",A6:R108,5,FALSE)),ROUND(VLOOKUP("10.7.1",A6:R108,5,FALSE),4),0) + IF(ISNUMBER(VLOOKUP("10.7.2",A6:R108,5,FALSE)),ROUND(VLOOKUP("10.7.2",A6:R108,5,FALSE),4),0) + IF(ISNUMBER(VLOOKUP("10.7.3",A6:R108,5,FALSE)),ROUND(VLOOKUP("10.7.3",A6:R108,5,FALSE),4),0)</f>
        <v>0</v>
      </c>
      <c r="F95" s="9">
        <f>IF(ISNUMBER(VLOOKUP("10.7.1",A6:R108,6,FALSE)),ROUND(VLOOKUP("10.7.1",A6:R108,6,FALSE),4),0) + IF(ISNUMBER(VLOOKUP("10.7.2",A6:R108,6,FALSE)),ROUND(VLOOKUP("10.7.2",A6:R108,6,FALSE),4),0) + IF(ISNUMBER(VLOOKUP("10.7.3",A6:R108,6,FALSE)),ROUND(VLOOKUP("10.7.3",A6:R108,6,FALSE),4),0)</f>
        <v>0</v>
      </c>
      <c r="G95" s="9">
        <f>IF(ISNUMBER(VLOOKUP("10.7.1",A6:R108,7,FALSE)),ROUND(VLOOKUP("10.7.1",A6:R108,7,FALSE),4),0) + IF(ISNUMBER(VLOOKUP("10.7.2",A6:R108,7,FALSE)),ROUND(VLOOKUP("10.7.2",A6:R108,7,FALSE),4),0) + IF(ISNUMBER(VLOOKUP("10.7.3",A6:R108,7,FALSE)),ROUND(VLOOKUP("10.7.3",A6:R108,7,FALSE),4),0)</f>
        <v>0</v>
      </c>
      <c r="H95" s="9">
        <f>IF(ISNUMBER(VLOOKUP("10.7.1",A6:R108,8,FALSE)),ROUND(VLOOKUP("10.7.1",A6:R108,8,FALSE),4),0) + IF(ISNUMBER(VLOOKUP("10.7.2",A6:R108,8,FALSE)),ROUND(VLOOKUP("10.7.2",A6:R108,8,FALSE),4),0) + IF(ISNUMBER(VLOOKUP("10.7.3",A6:R108,8,FALSE)),ROUND(VLOOKUP("10.7.3",A6:R108,8,FALSE),4),0)</f>
        <v>0</v>
      </c>
      <c r="I95" s="9">
        <f>IF(ISNUMBER(VLOOKUP("10.7.1",A6:R108,9,FALSE)),ROUND(VLOOKUP("10.7.1",A6:R108,9,FALSE),4),0) + IF(ISNUMBER(VLOOKUP("10.7.2",A6:R108,9,FALSE)),ROUND(VLOOKUP("10.7.2",A6:R108,9,FALSE),4),0) + IF(ISNUMBER(VLOOKUP("10.7.3",A6:R108,9,FALSE)),ROUND(VLOOKUP("10.7.3",A6:R108,9,FALSE),4),0)</f>
        <v>0</v>
      </c>
      <c r="J95" s="9">
        <f>IF(ISNUMBER(VLOOKUP("10.7.1",A6:R108,10,FALSE)),ROUND(VLOOKUP("10.7.1",A6:R108,10,FALSE),4),0) + IF(ISNUMBER(VLOOKUP("10.7.2",A6:R108,10,FALSE)),ROUND(VLOOKUP("10.7.2",A6:R108,10,FALSE),4),0) + IF(ISNUMBER(VLOOKUP("10.7.3",A6:R108,10,FALSE)),ROUND(VLOOKUP("10.7.3",A6:R108,10,FALSE),4),0)</f>
        <v>0</v>
      </c>
      <c r="K95" s="10">
        <f>IF(ISNUMBER(VLOOKUP("10.7.1",A6:R108,11,FALSE)),ROUND(VLOOKUP("10.7.1",A6:R108,11,FALSE),4),0) + IF(ISNUMBER(VLOOKUP("10.7.2",A6:R108,11,FALSE)),ROUND(VLOOKUP("10.7.2",A6:R108,11,FALSE),4),0) + IF(ISNUMBER(VLOOKUP("10.7.3",A6:R108,11,FALSE)),ROUND(VLOOKUP("10.7.3",A6:R108,11,FALSE),4),0)</f>
        <v>0</v>
      </c>
      <c r="L95" s="10">
        <f>IF(ISNUMBER(VLOOKUP("10.7.1",A6:R108,12,FALSE)),ROUND(VLOOKUP("10.7.1",A6:R108,12,FALSE),4),0) + IF(ISNUMBER(VLOOKUP("10.7.2",A6:R108,12,FALSE)),ROUND(VLOOKUP("10.7.2",A6:R108,12,FALSE),4),0) + IF(ISNUMBER(VLOOKUP("10.7.3",A6:R108,12,FALSE)),ROUND(VLOOKUP("10.7.3",A6:R108,12,FALSE),4),0)</f>
        <v>0</v>
      </c>
      <c r="M95" s="10">
        <f>IF(ISNUMBER(VLOOKUP("10.7.1",A6:R108,13,FALSE)),ROUND(VLOOKUP("10.7.1",A6:R108,13,FALSE),4),0) + IF(ISNUMBER(VLOOKUP("10.7.2",A6:R108,13,FALSE)),ROUND(VLOOKUP("10.7.2",A6:R108,13,FALSE),4),0) + IF(ISNUMBER(VLOOKUP("10.7.3",A6:R108,13,FALSE)),ROUND(VLOOKUP("10.7.3",A6:R108,13,FALSE),4),0)</f>
        <v>0</v>
      </c>
      <c r="N95" s="10">
        <f>IF(ISNUMBER(VLOOKUP("10.7.1",A6:R108,14,FALSE)),ROUND(VLOOKUP("10.7.1",A6:R108,14,FALSE),4),0) + IF(ISNUMBER(VLOOKUP("10.7.2",A6:R108,14,FALSE)),ROUND(VLOOKUP("10.7.2",A6:R108,14,FALSE),4),0) + IF(ISNUMBER(VLOOKUP("10.7.3",A6:R108,14,FALSE)),ROUND(VLOOKUP("10.7.3",A6:R108,14,FALSE),4),0)</f>
        <v>0</v>
      </c>
      <c r="O95" s="10">
        <f>IF(ISNUMBER(VLOOKUP("10.7.1",A6:R108,15,FALSE)),ROUND(VLOOKUP("10.7.1",A6:R108,15,FALSE),4),0) + IF(ISNUMBER(VLOOKUP("10.7.2",A6:R108,15,FALSE)),ROUND(VLOOKUP("10.7.2",A6:R108,15,FALSE),4),0) + IF(ISNUMBER(VLOOKUP("10.7.3",A6:R108,15,FALSE)),ROUND(VLOOKUP("10.7.3",A6:R108,15,FALSE),4),0)</f>
        <v>0</v>
      </c>
      <c r="P95" s="10">
        <f>IF(ISNUMBER(VLOOKUP("10.7.1",A6:R108,16,FALSE)),ROUND(VLOOKUP("10.7.1",A6:R108,16,FALSE),4),0) + IF(ISNUMBER(VLOOKUP("10.7.2",A6:R108,16,FALSE)),ROUND(VLOOKUP("10.7.2",A6:R108,16,FALSE),4),0) + IF(ISNUMBER(VLOOKUP("10.7.3",A6:R108,16,FALSE)),ROUND(VLOOKUP("10.7.3",A6:R108,16,FALSE),4),0)</f>
        <v>0</v>
      </c>
      <c r="Q95" s="10">
        <f>IF(ISNUMBER(VLOOKUP("10.7.1",A6:R108,17,FALSE)),ROUND(VLOOKUP("10.7.1",A6:R108,17,FALSE),4),0) + IF(ISNUMBER(VLOOKUP("10.7.2",A6:R108,17,FALSE)),ROUND(VLOOKUP("10.7.2",A6:R108,17,FALSE),4),0) + IF(ISNUMBER(VLOOKUP("10.7.3",A6:R108,17,FALSE)),ROUND(VLOOKUP("10.7.3",A6:R108,17,FALSE),4),0)</f>
        <v>0</v>
      </c>
      <c r="R95" s="10">
        <f>IF(ISNUMBER(VLOOKUP("10.7.1",A6:R108,18,FALSE)),ROUND(VLOOKUP("10.7.1",A6:R108,18,FALSE),4),0) + IF(ISNUMBER(VLOOKUP("10.7.2",A6:R108,18,FALSE)),ROUND(VLOOKUP("10.7.2",A6:R108,18,FALSE),4),0) + IF(ISNUMBER(VLOOKUP("10.7.3",A6:R108,18,FALSE)),ROUND(VLOOKUP("10.7.3",A6:R108,18,FALSE),4),0)</f>
        <v>0</v>
      </c>
    </row>
    <row r="96" spans="1:18" ht="30" customHeight="1" x14ac:dyDescent="0.3">
      <c r="A96" s="5" t="s">
        <v>190</v>
      </c>
      <c r="B96" s="6" t="s">
        <v>191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</row>
    <row r="97" spans="1:18" ht="30" customHeight="1" x14ac:dyDescent="0.3">
      <c r="A97" s="5" t="s">
        <v>192</v>
      </c>
      <c r="B97" s="6" t="s">
        <v>193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</row>
    <row r="98" spans="1:18" ht="30" customHeight="1" x14ac:dyDescent="0.3">
      <c r="A98" s="5" t="s">
        <v>194</v>
      </c>
      <c r="B98" s="6" t="s">
        <v>195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</row>
    <row r="99" spans="1:18" ht="30" customHeight="1" x14ac:dyDescent="0.3">
      <c r="A99" s="5" t="s">
        <v>196</v>
      </c>
      <c r="B99" s="6" t="s">
        <v>197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</row>
    <row r="100" spans="1:18" ht="30" customHeight="1" x14ac:dyDescent="0.3">
      <c r="A100" s="5" t="s">
        <v>198</v>
      </c>
      <c r="B100" s="6" t="s">
        <v>199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</row>
    <row r="101" spans="1:18" ht="30" customHeight="1" x14ac:dyDescent="0.3">
      <c r="A101" s="5" t="s">
        <v>200</v>
      </c>
      <c r="B101" s="6" t="s">
        <v>201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</row>
    <row r="102" spans="1:18" ht="30" customHeight="1" x14ac:dyDescent="0.3">
      <c r="A102" s="5" t="s">
        <v>202</v>
      </c>
      <c r="B102" s="6" t="s">
        <v>203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</row>
    <row r="103" spans="1:18" ht="51.75" customHeight="1" x14ac:dyDescent="0.3">
      <c r="A103" s="5" t="s">
        <v>204</v>
      </c>
      <c r="B103" s="6" t="s">
        <v>205</v>
      </c>
      <c r="C103" s="9">
        <f>IF(ISNUMBER(VLOOKUP("2.1.3.3",A6:R108,3,FALSE)),ROUND(VLOOKUP("2.1.3.3",A6:R108,3,FALSE),4),0) + IF(ISNUMBER(VLOOKUP("5.1.1.4",A6:R108,3,FALSE)),ROUND(VLOOKUP("5.1.1.4",A6:R108,3,FALSE),4),0)</f>
        <v>0</v>
      </c>
      <c r="D103" s="9">
        <f>IF(ISNUMBER(VLOOKUP("2.1.3.3",A6:R108,4,FALSE)),ROUND(VLOOKUP("2.1.3.3",A6:R108,4,FALSE),4),0) + IF(ISNUMBER(VLOOKUP("5.1.1.4",A6:R108,4,FALSE)),ROUND(VLOOKUP("5.1.1.4",A6:R108,4,FALSE),4),0)</f>
        <v>0</v>
      </c>
      <c r="E103" s="9">
        <f>IF(ISNUMBER(VLOOKUP("2.1.3.3",A6:R108,5,FALSE)),ROUND(VLOOKUP("2.1.3.3",A6:R108,5,FALSE),4),0) + IF(ISNUMBER(VLOOKUP("5.1.1.4",A6:R108,5,FALSE)),ROUND(VLOOKUP("5.1.1.4",A6:R108,5,FALSE),4),0)</f>
        <v>0</v>
      </c>
      <c r="F103" s="9">
        <f>IF(ISNUMBER(VLOOKUP("2.1.3.3",A6:R108,6,FALSE)),ROUND(VLOOKUP("2.1.3.3",A6:R108,6,FALSE),4),0) + IF(ISNUMBER(VLOOKUP("5.1.1.4",A6:R108,6,FALSE)),ROUND(VLOOKUP("5.1.1.4",A6:R108,6,FALSE),4),0)</f>
        <v>0</v>
      </c>
      <c r="G103" s="9">
        <f>IF(ISNUMBER(VLOOKUP("2.1.3.3",A6:R108,7,FALSE)),ROUND(VLOOKUP("2.1.3.3",A6:R108,7,FALSE),4),0) + IF(ISNUMBER(VLOOKUP("5.1.1.4",A6:R108,7,FALSE)),ROUND(VLOOKUP("5.1.1.4",A6:R108,7,FALSE),4),0)</f>
        <v>0</v>
      </c>
      <c r="H103" s="9">
        <f>IF(ISNUMBER(VLOOKUP("2.1.3.3",A6:R108,8,FALSE)),ROUND(VLOOKUP("2.1.3.3",A6:R108,8,FALSE),4),0) + IF(ISNUMBER(VLOOKUP("5.1.1.4",A6:R108,8,FALSE)),ROUND(VLOOKUP("5.1.1.4",A6:R108,8,FALSE),4),0)</f>
        <v>0</v>
      </c>
      <c r="I103" s="9">
        <f>IF(ISNUMBER(VLOOKUP("2.1.3.3",A6:R108,9,FALSE)),ROUND(VLOOKUP("2.1.3.3",A6:R108,9,FALSE),4),0) + IF(ISNUMBER(VLOOKUP("5.1.1.4",A6:R108,9,FALSE)),ROUND(VLOOKUP("5.1.1.4",A6:R108,9,FALSE),4),0)</f>
        <v>0</v>
      </c>
      <c r="J103" s="9">
        <f>IF(ISNUMBER(VLOOKUP("2.1.3.3",A6:R108,10,FALSE)),ROUND(VLOOKUP("2.1.3.3",A6:R108,10,FALSE),4),0) + IF(ISNUMBER(VLOOKUP("5.1.1.4",A6:R108,10,FALSE)),ROUND(VLOOKUP("5.1.1.4",A6:R108,10,FALSE),4),0)</f>
        <v>0</v>
      </c>
      <c r="K103" s="10">
        <f>IF(ISNUMBER(VLOOKUP("2.1.3.3",A6:R108,11,FALSE)),ROUND(VLOOKUP("2.1.3.3",A6:R108,11,FALSE),4),0) + IF(ISNUMBER(VLOOKUP("5.1.1.4",A6:R108,11,FALSE)),ROUND(VLOOKUP("5.1.1.4",A6:R108,11,FALSE),4),0)</f>
        <v>0</v>
      </c>
      <c r="L103" s="10">
        <f>IF(ISNUMBER(VLOOKUP("2.1.3.3",A6:R108,12,FALSE)),ROUND(VLOOKUP("2.1.3.3",A6:R108,12,FALSE),4),0) + IF(ISNUMBER(VLOOKUP("5.1.1.4",A6:R108,12,FALSE)),ROUND(VLOOKUP("5.1.1.4",A6:R108,12,FALSE),4),0)</f>
        <v>0</v>
      </c>
      <c r="M103" s="10">
        <f>IF(ISNUMBER(VLOOKUP("2.1.3.3",A6:R108,13,FALSE)),ROUND(VLOOKUP("2.1.3.3",A6:R108,13,FALSE),4),0) + IF(ISNUMBER(VLOOKUP("5.1.1.4",A6:R108,13,FALSE)),ROUND(VLOOKUP("5.1.1.4",A6:R108,13,FALSE),4),0)</f>
        <v>0</v>
      </c>
      <c r="N103" s="10">
        <f>IF(ISNUMBER(VLOOKUP("2.1.3.3",A6:R108,14,FALSE)),ROUND(VLOOKUP("2.1.3.3",A6:R108,14,FALSE),4),0) + IF(ISNUMBER(VLOOKUP("5.1.1.4",A6:R108,14,FALSE)),ROUND(VLOOKUP("5.1.1.4",A6:R108,14,FALSE),4),0)</f>
        <v>0</v>
      </c>
      <c r="O103" s="10">
        <f>IF(ISNUMBER(VLOOKUP("2.1.3.3",A6:R108,15,FALSE)),ROUND(VLOOKUP("2.1.3.3",A6:R108,15,FALSE),4),0) + IF(ISNUMBER(VLOOKUP("5.1.1.4",A6:R108,15,FALSE)),ROUND(VLOOKUP("5.1.1.4",A6:R108,15,FALSE),4),0)</f>
        <v>0</v>
      </c>
      <c r="P103" s="10">
        <f>IF(ISNUMBER(VLOOKUP("2.1.3.3",A6:R108,16,FALSE)),ROUND(VLOOKUP("2.1.3.3",A6:R108,16,FALSE),4),0) + IF(ISNUMBER(VLOOKUP("5.1.1.4",A6:R108,16,FALSE)),ROUND(VLOOKUP("5.1.1.4",A6:R108,16,FALSE),4),0)</f>
        <v>0</v>
      </c>
      <c r="Q103" s="10">
        <f>IF(ISNUMBER(VLOOKUP("2.1.3.3",A6:R108,17,FALSE)),ROUND(VLOOKUP("2.1.3.3",A6:R108,17,FALSE),4),0) + IF(ISNUMBER(VLOOKUP("5.1.1.4",A6:R108,17,FALSE)),ROUND(VLOOKUP("5.1.1.4",A6:R108,17,FALSE),4),0)</f>
        <v>0</v>
      </c>
      <c r="R103" s="10">
        <f>IF(ISNUMBER(VLOOKUP("2.1.3.3",A6:R108,18,FALSE)),ROUND(VLOOKUP("2.1.3.3",A6:R108,18,FALSE),4),0) + IF(ISNUMBER(VLOOKUP("5.1.1.4",A6:R108,18,FALSE)),ROUND(VLOOKUP("5.1.1.4",A6:R108,18,FALSE),4),0)</f>
        <v>0</v>
      </c>
    </row>
    <row r="104" spans="1:18" ht="30" customHeight="1" x14ac:dyDescent="0.3">
      <c r="A104" s="5" t="s">
        <v>206</v>
      </c>
      <c r="B104" s="6" t="s">
        <v>207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</row>
    <row r="105" spans="1:18" ht="30" hidden="1" customHeight="1" x14ac:dyDescent="0.3">
      <c r="A105" s="5" t="s">
        <v>208</v>
      </c>
      <c r="B105" s="6" t="s">
        <v>209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</row>
    <row r="106" spans="1:18" ht="30" hidden="1" customHeight="1" x14ac:dyDescent="0.3">
      <c r="A106" s="19" t="s">
        <v>210</v>
      </c>
      <c r="B106" s="20" t="s">
        <v>211</v>
      </c>
      <c r="C106" s="21">
        <f>IF(ISNUMBER(VLOOKUP("3",A6:R108,3,FALSE)),ROUND(VLOOKUP("3",A6:R108,3,FALSE),4),0) + IF(ISNUMBER(VLOOKUP("4",A6:R108,3,FALSE)),ROUND(VLOOKUP("4",A6:R108,3,FALSE),4),0) - IF(ISNUMBER(VLOOKUP("5",A6:R108,3,FALSE)),ROUND(VLOOKUP("5",A6:R108,3,FALSE),4),0)</f>
        <v>0</v>
      </c>
      <c r="D106" s="21">
        <f>IF(ISNUMBER(VLOOKUP("3",A6:R108,4,FALSE)),ROUND(VLOOKUP("3",A6:R108,4,FALSE),4),0) + IF(ISNUMBER(VLOOKUP("4",A6:R108,4,FALSE)),ROUND(VLOOKUP("4",A6:R108,4,FALSE),4),0) - IF(ISNUMBER(VLOOKUP("5",A6:R108,4,FALSE)),ROUND(VLOOKUP("5",A6:R108,4,FALSE),4),0)</f>
        <v>1536168.3499999996</v>
      </c>
      <c r="E106" s="21">
        <f>IF(ISNUMBER(VLOOKUP("3",A6:R108,5,FALSE)),ROUND(VLOOKUP("3",A6:R108,5,FALSE),4),0) + IF(ISNUMBER(VLOOKUP("4",A6:R108,5,FALSE)),ROUND(VLOOKUP("4",A6:R108,5,FALSE),4),0) - IF(ISNUMBER(VLOOKUP("5",A6:R108,5,FALSE)),ROUND(VLOOKUP("5",A6:R108,5,FALSE),4),0)</f>
        <v>6703917.7300000004</v>
      </c>
      <c r="F106" s="21">
        <f>IF(ISNUMBER(VLOOKUP("3",A6:R108,6,FALSE)),ROUND(VLOOKUP("3",A6:R108,6,FALSE),4),0) + IF(ISNUMBER(VLOOKUP("4",A6:R108,6,FALSE)),ROUND(VLOOKUP("4",A6:R108,6,FALSE),4),0) - IF(ISNUMBER(VLOOKUP("5",A6:R108,6,FALSE)),ROUND(VLOOKUP("5",A6:R108,6,FALSE),4),0)</f>
        <v>9443733.3099999987</v>
      </c>
      <c r="G106" s="21">
        <f>IF(ISNUMBER(VLOOKUP("3",A6:R108,7,FALSE)),ROUND(VLOOKUP("3",A6:R108,7,FALSE),4),0) + IF(ISNUMBER(VLOOKUP("4",A6:R108,7,FALSE)),ROUND(VLOOKUP("4",A6:R108,7,FALSE),4),0) - IF(ISNUMBER(VLOOKUP("5",A6:R108,7,FALSE)),ROUND(VLOOKUP("5",A6:R108,7,FALSE),4),0)</f>
        <v>17022563.550000001</v>
      </c>
      <c r="H106" s="21">
        <f>IF(ISNUMBER(VLOOKUP("3",A6:R108,8,FALSE)),ROUND(VLOOKUP("3",A6:R108,8,FALSE),4),0) + IF(ISNUMBER(VLOOKUP("4",A6:R108,8,FALSE)),ROUND(VLOOKUP("4",A6:R108,8,FALSE),4),0) - IF(ISNUMBER(VLOOKUP("5",A6:R108,8,FALSE)),ROUND(VLOOKUP("5",A6:R108,8,FALSE),4),0)</f>
        <v>9625501.7300000004</v>
      </c>
      <c r="I106" s="21">
        <f>IF(ISNUMBER(VLOOKUP("3",A6:R108,9,FALSE)),ROUND(VLOOKUP("3",A6:R108,9,FALSE),4),0) + IF(ISNUMBER(VLOOKUP("4",A6:R108,9,FALSE)),ROUND(VLOOKUP("4",A6:R108,9,FALSE),4),0) - IF(ISNUMBER(VLOOKUP("5",A6:R108,9,FALSE)),ROUND(VLOOKUP("5",A6:R108,9,FALSE),4),0)</f>
        <v>0</v>
      </c>
      <c r="J106" s="21">
        <f>IF(ISNUMBER(VLOOKUP("3",A6:R108,10,FALSE)),ROUND(VLOOKUP("3",A6:R108,10,FALSE),4),0) + IF(ISNUMBER(VLOOKUP("4",A6:R108,10,FALSE)),ROUND(VLOOKUP("4",A6:R108,10,FALSE),4),0) - IF(ISNUMBER(VLOOKUP("5",A6:R108,10,FALSE)),ROUND(VLOOKUP("5",A6:R108,10,FALSE),4),0)</f>
        <v>14993628.76</v>
      </c>
      <c r="K106" s="22">
        <f>IF(ISNUMBER(VLOOKUP("3",A6:R108,11,FALSE)),ROUND(VLOOKUP("3",A6:R108,11,FALSE),4),0) + IF(ISNUMBER(VLOOKUP("4",A6:R108,11,FALSE)),ROUND(VLOOKUP("4",A6:R108,11,FALSE),4),0) - IF(ISNUMBER(VLOOKUP("5",A6:R108,11,FALSE)),ROUND(VLOOKUP("5",A6:R108,11,FALSE),4),0)</f>
        <v>0</v>
      </c>
      <c r="L106" s="22">
        <f>IF(ISNUMBER(VLOOKUP("3",A6:R108,12,FALSE)),ROUND(VLOOKUP("3",A6:R108,12,FALSE),4),0) + IF(ISNUMBER(VLOOKUP("4",A6:R108,12,FALSE)),ROUND(VLOOKUP("4",A6:R108,12,FALSE),4),0) - IF(ISNUMBER(VLOOKUP("5",A6:R108,12,FALSE)),ROUND(VLOOKUP("5",A6:R108,12,FALSE),4),0)</f>
        <v>0</v>
      </c>
      <c r="M106" s="22">
        <f>IF(ISNUMBER(VLOOKUP("3",A6:R108,13,FALSE)),ROUND(VLOOKUP("3",A6:R108,13,FALSE),4),0) + IF(ISNUMBER(VLOOKUP("4",A6:R108,13,FALSE)),ROUND(VLOOKUP("4",A6:R108,13,FALSE),4),0) - IF(ISNUMBER(VLOOKUP("5",A6:R108,13,FALSE)),ROUND(VLOOKUP("5",A6:R108,13,FALSE),4),0)</f>
        <v>0</v>
      </c>
      <c r="N106" s="22">
        <f>IF(ISNUMBER(VLOOKUP("3",A6:R108,14,FALSE)),ROUND(VLOOKUP("3",A6:R108,14,FALSE),4),0) + IF(ISNUMBER(VLOOKUP("4",A6:R108,14,FALSE)),ROUND(VLOOKUP("4",A6:R108,14,FALSE),4),0) - IF(ISNUMBER(VLOOKUP("5",A6:R108,14,FALSE)),ROUND(VLOOKUP("5",A6:R108,14,FALSE),4),0)</f>
        <v>0</v>
      </c>
      <c r="O106" s="22">
        <f>IF(ISNUMBER(VLOOKUP("3",A6:R108,15,FALSE)),ROUND(VLOOKUP("3",A6:R108,15,FALSE),4),0) + IF(ISNUMBER(VLOOKUP("4",A6:R108,15,FALSE)),ROUND(VLOOKUP("4",A6:R108,15,FALSE),4),0) - IF(ISNUMBER(VLOOKUP("5",A6:R108,15,FALSE)),ROUND(VLOOKUP("5",A6:R108,15,FALSE),4),0)</f>
        <v>0</v>
      </c>
      <c r="P106" s="22">
        <f>IF(ISNUMBER(VLOOKUP("3",A6:R108,16,FALSE)),ROUND(VLOOKUP("3",A6:R108,16,FALSE),4),0) + IF(ISNUMBER(VLOOKUP("4",A6:R108,16,FALSE)),ROUND(VLOOKUP("4",A6:R108,16,FALSE),4),0) - IF(ISNUMBER(VLOOKUP("5",A6:R108,16,FALSE)),ROUND(VLOOKUP("5",A6:R108,16,FALSE),4),0)</f>
        <v>0</v>
      </c>
      <c r="Q106" s="22">
        <f>IF(ISNUMBER(VLOOKUP("3",A6:R108,17,FALSE)),ROUND(VLOOKUP("3",A6:R108,17,FALSE),4),0) + IF(ISNUMBER(VLOOKUP("4",A6:R108,17,FALSE)),ROUND(VLOOKUP("4",A6:R108,17,FALSE),4),0) - IF(ISNUMBER(VLOOKUP("5",A6:R108,17,FALSE)),ROUND(VLOOKUP("5",A6:R108,17,FALSE),4),0)</f>
        <v>0</v>
      </c>
      <c r="R106" s="22">
        <f>IF(ISNUMBER(VLOOKUP("3",A6:R108,18,FALSE)),ROUND(VLOOKUP("3",A6:R108,18,FALSE),4),0) + IF(ISNUMBER(VLOOKUP("4",A6:R108,18,FALSE)),ROUND(VLOOKUP("4",A6:R108,18,FALSE),4),0) - IF(ISNUMBER(VLOOKUP("5",A6:R108,18,FALSE)),ROUND(VLOOKUP("5",A6:R108,18,FALSE),4),0)</f>
        <v>0</v>
      </c>
    </row>
    <row r="107" spans="1:18" ht="30" hidden="1" customHeight="1" x14ac:dyDescent="0.3">
      <c r="A107" s="5" t="s">
        <v>212</v>
      </c>
      <c r="B107" s="6" t="s">
        <v>213</v>
      </c>
      <c r="C107" s="9">
        <f>IF(ISNUMBER(VLOOKUP("1",A6:R108,3,FALSE)),ROUND(VLOOKUP("1",A6:R108,3,FALSE),4),0) - (IF(ISNUMBER(VLOOKUP("2.1",A6:R108,3,FALSE)),ROUND(VLOOKUP("2.1",A6:R108,3,FALSE),4),0) + IF(ISNUMBER(VLOOKUP("10.1.2",A6:R108,3,FALSE)),ROUND(VLOOKUP("10.1.2",A6:R108,3,FALSE),4),0)) + IF(ISNUMBER(VLOOKUP("4",A6:R108,3,FALSE)),ROUND(VLOOKUP("4",A6:R108,3,FALSE),4),0) - IF(ISNUMBER(VLOOKUP("5",A6:R108,3,FALSE)),ROUND(VLOOKUP("5",A6:R108,3,FALSE),4),0)</f>
        <v>10497585.390000004</v>
      </c>
      <c r="D107" s="9">
        <f>IF(ISNUMBER(VLOOKUP("1",A6:R108,4,FALSE)),ROUND(VLOOKUP("1",A6:R108,4,FALSE),4),0) - (IF(ISNUMBER(VLOOKUP("2.1",A6:R108,4,FALSE)),ROUND(VLOOKUP("2.1",A6:R108,4,FALSE),4),0) + IF(ISNUMBER(VLOOKUP("10.1.2",A6:R108,4,FALSE)),ROUND(VLOOKUP("10.1.2",A6:R108,4,FALSE),4),0)) + IF(ISNUMBER(VLOOKUP("4",A6:R108,4,FALSE)),ROUND(VLOOKUP("4",A6:R108,4,FALSE),4),0) - IF(ISNUMBER(VLOOKUP("5",A6:R108,4,FALSE)),ROUND(VLOOKUP("5",A6:R108,4,FALSE),4),0)</f>
        <v>3622861.1100000143</v>
      </c>
      <c r="E107" s="9">
        <f>IF(ISNUMBER(VLOOKUP("1",A6:R108,5,FALSE)),ROUND(VLOOKUP("1",A6:R108,5,FALSE),4),0) - (IF(ISNUMBER(VLOOKUP("2.1",A6:R108,5,FALSE)),ROUND(VLOOKUP("2.1",A6:R108,5,FALSE),4),0) + IF(ISNUMBER(VLOOKUP("10.1.2",A6:R108,5,FALSE)),ROUND(VLOOKUP("10.1.2",A6:R108,5,FALSE),4),0)) + IF(ISNUMBER(VLOOKUP("4",A6:R108,5,FALSE)),ROUND(VLOOKUP("4",A6:R108,5,FALSE),4),0) - IF(ISNUMBER(VLOOKUP("5",A6:R108,5,FALSE)),ROUND(VLOOKUP("5",A6:R108,5,FALSE),4),0)</f>
        <v>8133247.6900000125</v>
      </c>
      <c r="F107" s="9">
        <f>IF(ISNUMBER(VLOOKUP("1",A6:R108,6,FALSE)),ROUND(VLOOKUP("1",A6:R108,6,FALSE),4),0) - (IF(ISNUMBER(VLOOKUP("2.1",A6:R108,6,FALSE)),ROUND(VLOOKUP("2.1",A6:R108,6,FALSE),4),0) + IF(ISNUMBER(VLOOKUP("10.1.2",A6:R108,6,FALSE)),ROUND(VLOOKUP("10.1.2",A6:R108,6,FALSE),4),0)) + IF(ISNUMBER(VLOOKUP("4",A6:R108,6,FALSE)),ROUND(VLOOKUP("4",A6:R108,6,FALSE),4),0) - IF(ISNUMBER(VLOOKUP("5",A6:R108,6,FALSE)),ROUND(VLOOKUP("5",A6:R108,6,FALSE),4),0)</f>
        <v>10558161.640000001</v>
      </c>
      <c r="G107" s="9">
        <f>IF(ISNUMBER(VLOOKUP("1",A6:R108,7,FALSE)),ROUND(VLOOKUP("1",A6:R108,7,FALSE),4),0) - (IF(ISNUMBER(VLOOKUP("2.1",A6:R108,7,FALSE)),ROUND(VLOOKUP("2.1",A6:R108,7,FALSE),4),0) + IF(ISNUMBER(VLOOKUP("10.1.2",A6:R108,7,FALSE)),ROUND(VLOOKUP("10.1.2",A6:R108,7,FALSE),4),0)) + IF(ISNUMBER(VLOOKUP("4",A6:R108,7,FALSE)),ROUND(VLOOKUP("4",A6:R108,7,FALSE),4),0) - IF(ISNUMBER(VLOOKUP("5",A6:R108,7,FALSE)),ROUND(VLOOKUP("5",A6:R108,7,FALSE),4),0)</f>
        <v>31565747.550000004</v>
      </c>
      <c r="H107" s="9">
        <f>IF(ISNUMBER(VLOOKUP("1",A6:R108,8,FALSE)),ROUND(VLOOKUP("1",A6:R108,8,FALSE),4),0) - (IF(ISNUMBER(VLOOKUP("2.1",A6:R108,8,FALSE)),ROUND(VLOOKUP("2.1",A6:R108,8,FALSE),4),0) + IF(ISNUMBER(VLOOKUP("10.1.2",A6:R108,8,FALSE)),ROUND(VLOOKUP("10.1.2",A6:R108,8,FALSE),4),0)) + IF(ISNUMBER(VLOOKUP("4",A6:R108,8,FALSE)),ROUND(VLOOKUP("4",A6:R108,8,FALSE),4),0) - IF(ISNUMBER(VLOOKUP("5",A6:R108,8,FALSE)),ROUND(VLOOKUP("5",A6:R108,8,FALSE),4),0)</f>
        <v>4507819.659999989</v>
      </c>
      <c r="I107" s="9">
        <f>IF(ISNUMBER(VLOOKUP("1",A6:R108,9,FALSE)),ROUND(VLOOKUP("1",A6:R108,9,FALSE),4),0) - (IF(ISNUMBER(VLOOKUP("2.1",A6:R108,9,FALSE)),ROUND(VLOOKUP("2.1",A6:R108,9,FALSE),4),0) + IF(ISNUMBER(VLOOKUP("10.1.2",A6:R108,9,FALSE)),ROUND(VLOOKUP("10.1.2",A6:R108,9,FALSE),4),0)) + IF(ISNUMBER(VLOOKUP("4",A6:R108,9,FALSE)),ROUND(VLOOKUP("4",A6:R108,9,FALSE),4),0) - IF(ISNUMBER(VLOOKUP("5",A6:R108,9,FALSE)),ROUND(VLOOKUP("5",A6:R108,9,FALSE),4),0)</f>
        <v>31655783</v>
      </c>
      <c r="J107" s="9">
        <f>IF(ISNUMBER(VLOOKUP("1",A6:R108,10,FALSE)),ROUND(VLOOKUP("1",A6:R108,10,FALSE),4),0) - (IF(ISNUMBER(VLOOKUP("2.1",A6:R108,10,FALSE)),ROUND(VLOOKUP("2.1",A6:R108,10,FALSE),4),0) + IF(ISNUMBER(VLOOKUP("10.1.2",A6:R108,10,FALSE)),ROUND(VLOOKUP("10.1.2",A6:R108,10,FALSE),4),0)) + IF(ISNUMBER(VLOOKUP("4",A6:R108,10,FALSE)),ROUND(VLOOKUP("4",A6:R108,10,FALSE),4),0) - IF(ISNUMBER(VLOOKUP("5",A6:R108,10,FALSE)),ROUND(VLOOKUP("5",A6:R108,10,FALSE),4),0)</f>
        <v>10120869.820000004</v>
      </c>
      <c r="K107" s="10">
        <f>IF(ISNUMBER(VLOOKUP("1",A6:R108,11,FALSE)),ROUND(VLOOKUP("1",A6:R108,11,FALSE),4),0) - (IF(ISNUMBER(VLOOKUP("2.1",A6:R108,11,FALSE)),ROUND(VLOOKUP("2.1",A6:R108,11,FALSE),4),0) + IF(ISNUMBER(VLOOKUP("10.1.2",A6:R108,11,FALSE)),ROUND(VLOOKUP("10.1.2",A6:R108,11,FALSE),4),0)) + IF(ISNUMBER(VLOOKUP("4",A6:R108,11,FALSE)),ROUND(VLOOKUP("4",A6:R108,11,FALSE),4),0) - IF(ISNUMBER(VLOOKUP("5",A6:R108,11,FALSE)),ROUND(VLOOKUP("5",A6:R108,11,FALSE),4),0)</f>
        <v>9739756.0000000298</v>
      </c>
      <c r="L107" s="10">
        <f>IF(ISNUMBER(VLOOKUP("1",A6:R108,12,FALSE)),ROUND(VLOOKUP("1",A6:R108,12,FALSE),4),0) - (IF(ISNUMBER(VLOOKUP("2.1",A6:R108,12,FALSE)),ROUND(VLOOKUP("2.1",A6:R108,12,FALSE),4),0) + IF(ISNUMBER(VLOOKUP("10.1.2",A6:R108,12,FALSE)),ROUND(VLOOKUP("10.1.2",A6:R108,12,FALSE),4),0)) + IF(ISNUMBER(VLOOKUP("4",A6:R108,12,FALSE)),ROUND(VLOOKUP("4",A6:R108,12,FALSE),4),0) - IF(ISNUMBER(VLOOKUP("5",A6:R108,12,FALSE)),ROUND(VLOOKUP("5",A6:R108,12,FALSE),4),0)</f>
        <v>4954528</v>
      </c>
      <c r="M107" s="10">
        <f>IF(ISNUMBER(VLOOKUP("1",A6:R108,13,FALSE)),ROUND(VLOOKUP("1",A6:R108,13,FALSE),4),0) - (IF(ISNUMBER(VLOOKUP("2.1",A6:R108,13,FALSE)),ROUND(VLOOKUP("2.1",A6:R108,13,FALSE),4),0) + IF(ISNUMBER(VLOOKUP("10.1.2",A6:R108,13,FALSE)),ROUND(VLOOKUP("10.1.2",A6:R108,13,FALSE),4),0)) + IF(ISNUMBER(VLOOKUP("4",A6:R108,13,FALSE)),ROUND(VLOOKUP("4",A6:R108,13,FALSE),4),0) - IF(ISNUMBER(VLOOKUP("5",A6:R108,13,FALSE)),ROUND(VLOOKUP("5",A6:R108,13,FALSE),4),0)</f>
        <v>6163325</v>
      </c>
      <c r="N107" s="10">
        <f>IF(ISNUMBER(VLOOKUP("1",A6:R108,14,FALSE)),ROUND(VLOOKUP("1",A6:R108,14,FALSE),4),0) - (IF(ISNUMBER(VLOOKUP("2.1",A6:R108,14,FALSE)),ROUND(VLOOKUP("2.1",A6:R108,14,FALSE),4),0) + IF(ISNUMBER(VLOOKUP("10.1.2",A6:R108,14,FALSE)),ROUND(VLOOKUP("10.1.2",A6:R108,14,FALSE),4),0)) + IF(ISNUMBER(VLOOKUP("4",A6:R108,14,FALSE)),ROUND(VLOOKUP("4",A6:R108,14,FALSE),4),0) - IF(ISNUMBER(VLOOKUP("5",A6:R108,14,FALSE)),ROUND(VLOOKUP("5",A6:R108,14,FALSE),4),0)</f>
        <v>7457499</v>
      </c>
      <c r="O107" s="10">
        <f>IF(ISNUMBER(VLOOKUP("1",A6:R108,15,FALSE)),ROUND(VLOOKUP("1",A6:R108,15,FALSE),4),0) - (IF(ISNUMBER(VLOOKUP("2.1",A6:R108,15,FALSE)),ROUND(VLOOKUP("2.1",A6:R108,15,FALSE),4),0) + IF(ISNUMBER(VLOOKUP("10.1.2",A6:R108,15,FALSE)),ROUND(VLOOKUP("10.1.2",A6:R108,15,FALSE),4),0)) + IF(ISNUMBER(VLOOKUP("4",A6:R108,15,FALSE)),ROUND(VLOOKUP("4",A6:R108,15,FALSE),4),0) - IF(ISNUMBER(VLOOKUP("5",A6:R108,15,FALSE)),ROUND(VLOOKUP("5",A6:R108,15,FALSE),4),0)</f>
        <v>7749478</v>
      </c>
      <c r="P107" s="10">
        <f>IF(ISNUMBER(VLOOKUP("1",A6:R108,16,FALSE)),ROUND(VLOOKUP("1",A6:R108,16,FALSE),4),0) - (IF(ISNUMBER(VLOOKUP("2.1",A6:R108,16,FALSE)),ROUND(VLOOKUP("2.1",A6:R108,16,FALSE),4),0) + IF(ISNUMBER(VLOOKUP("10.1.2",A6:R108,16,FALSE)),ROUND(VLOOKUP("10.1.2",A6:R108,16,FALSE),4),0)) + IF(ISNUMBER(VLOOKUP("4",A6:R108,16,FALSE)),ROUND(VLOOKUP("4",A6:R108,16,FALSE),4),0) - IF(ISNUMBER(VLOOKUP("5",A6:R108,16,FALSE)),ROUND(VLOOKUP("5",A6:R108,16,FALSE),4),0)</f>
        <v>8041715</v>
      </c>
      <c r="Q107" s="10">
        <f>IF(ISNUMBER(VLOOKUP("1",A6:R108,17,FALSE)),ROUND(VLOOKUP("1",A6:R108,17,FALSE),4),0) - (IF(ISNUMBER(VLOOKUP("2.1",A6:R108,17,FALSE)),ROUND(VLOOKUP("2.1",A6:R108,17,FALSE),4),0) + IF(ISNUMBER(VLOOKUP("10.1.2",A6:R108,17,FALSE)),ROUND(VLOOKUP("10.1.2",A6:R108,17,FALSE),4),0)) + IF(ISNUMBER(VLOOKUP("4",A6:R108,17,FALSE)),ROUND(VLOOKUP("4",A6:R108,17,FALSE),4),0) - IF(ISNUMBER(VLOOKUP("5",A6:R108,17,FALSE)),ROUND(VLOOKUP("5",A6:R108,17,FALSE),4),0)</f>
        <v>8515020</v>
      </c>
      <c r="R107" s="10">
        <f>IF(ISNUMBER(VLOOKUP("1",A6:R108,18,FALSE)),ROUND(VLOOKUP("1",A6:R108,18,FALSE),4),0) - (IF(ISNUMBER(VLOOKUP("2.1",A6:R108,18,FALSE)),ROUND(VLOOKUP("2.1",A6:R108,18,FALSE),4),0) + IF(ISNUMBER(VLOOKUP("10.1.2",A6:R108,18,FALSE)),ROUND(VLOOKUP("10.1.2",A6:R108,18,FALSE),4),0)) + IF(ISNUMBER(VLOOKUP("4",A6:R108,18,FALSE)),ROUND(VLOOKUP("4",A6:R108,18,FALSE),4),0) - IF(ISNUMBER(VLOOKUP("5",A6:R108,18,FALSE)),ROUND(VLOOKUP("5",A6:R108,18,FALSE),4),0)</f>
        <v>8844215</v>
      </c>
    </row>
  </sheetData>
  <mergeCells count="4">
    <mergeCell ref="C60:R60"/>
    <mergeCell ref="C64:R64"/>
    <mergeCell ref="C73:R73"/>
    <mergeCell ref="C86:R86"/>
  </mergeCells>
  <conditionalFormatting sqref="B35:R35">
    <cfRule type="beginsWith" dxfId="3" priority="1" operator="beginsWith" text="Tak">
      <formula>LEFT(B35,LEN("Tak"))="Tak"</formula>
    </cfRule>
    <cfRule type="beginsWith" dxfId="2" priority="2" operator="beginsWith" text="Nie">
      <formula>LEFT(B35,LEN("Nie"))="Nie"</formula>
    </cfRule>
  </conditionalFormatting>
  <conditionalFormatting sqref="B70:R71">
    <cfRule type="beginsWith" dxfId="1" priority="3" operator="beginsWith" text="Tak">
      <formula>LEFT(B70,LEN("Tak"))="Tak"</formula>
    </cfRule>
    <cfRule type="beginsWith" dxfId="0" priority="4" operator="beginsWith" text="Nie">
      <formula>LEFT(B70,LEN("Nie"))="Nie"</formula>
    </cfRule>
  </conditionalFormatting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Marta Kozik</cp:lastModifiedBy>
  <cp:lastPrinted>2025-09-22T09:44:32Z</cp:lastPrinted>
  <dcterms:modified xsi:type="dcterms:W3CDTF">2025-09-22T09:44:37Z</dcterms:modified>
</cp:coreProperties>
</file>