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Realizacja_WPF_za_I_półrocze_2016\"/>
    </mc:Choice>
  </mc:AlternateContent>
  <bookViews>
    <workbookView xWindow="0" yWindow="0" windowWidth="18915" windowHeight="115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  <c r="C64" i="1"/>
  <c r="C6" i="1" l="1"/>
  <c r="C47" i="1" l="1"/>
  <c r="C48" i="1" s="1"/>
  <c r="C16" i="1"/>
  <c r="L110" i="1" l="1"/>
  <c r="K110" i="1"/>
  <c r="J110" i="1"/>
  <c r="I110" i="1"/>
  <c r="H110" i="1"/>
  <c r="G110" i="1"/>
  <c r="F110" i="1"/>
  <c r="E110" i="1"/>
  <c r="D110" i="1"/>
  <c r="L109" i="1"/>
  <c r="K109" i="1"/>
  <c r="J109" i="1"/>
  <c r="I109" i="1"/>
  <c r="H109" i="1"/>
  <c r="G109" i="1"/>
  <c r="F109" i="1"/>
  <c r="E109" i="1"/>
  <c r="D109" i="1"/>
  <c r="L108" i="1"/>
  <c r="K108" i="1"/>
  <c r="J108" i="1"/>
  <c r="I108" i="1"/>
  <c r="H108" i="1"/>
  <c r="G108" i="1"/>
  <c r="F108" i="1"/>
  <c r="E108" i="1"/>
  <c r="D108" i="1"/>
  <c r="L106" i="1"/>
  <c r="K106" i="1"/>
  <c r="J106" i="1"/>
  <c r="I106" i="1"/>
  <c r="H106" i="1"/>
  <c r="G106" i="1"/>
  <c r="F106" i="1"/>
  <c r="E106" i="1"/>
  <c r="D106" i="1"/>
  <c r="L105" i="1"/>
  <c r="K105" i="1"/>
  <c r="J105" i="1"/>
  <c r="I105" i="1"/>
  <c r="H105" i="1"/>
  <c r="G105" i="1"/>
  <c r="F105" i="1"/>
  <c r="E105" i="1"/>
  <c r="D105" i="1"/>
  <c r="L104" i="1"/>
  <c r="K104" i="1"/>
  <c r="J104" i="1"/>
  <c r="I104" i="1"/>
  <c r="H104" i="1"/>
  <c r="G104" i="1"/>
  <c r="F104" i="1"/>
  <c r="E104" i="1"/>
  <c r="D104" i="1"/>
  <c r="L103" i="1"/>
  <c r="K103" i="1"/>
  <c r="J103" i="1"/>
  <c r="I103" i="1"/>
  <c r="H103" i="1"/>
  <c r="G103" i="1"/>
  <c r="F103" i="1"/>
  <c r="E103" i="1"/>
  <c r="D103" i="1"/>
  <c r="L102" i="1"/>
  <c r="K102" i="1"/>
  <c r="J102" i="1"/>
  <c r="I102" i="1"/>
  <c r="H102" i="1"/>
  <c r="G102" i="1"/>
  <c r="F102" i="1"/>
  <c r="E102" i="1"/>
  <c r="D102" i="1"/>
  <c r="L101" i="1"/>
  <c r="K101" i="1"/>
  <c r="J101" i="1"/>
  <c r="I101" i="1"/>
  <c r="H101" i="1"/>
  <c r="G101" i="1"/>
  <c r="F101" i="1"/>
  <c r="E101" i="1"/>
  <c r="D101" i="1"/>
  <c r="L100" i="1"/>
  <c r="K100" i="1"/>
  <c r="J100" i="1"/>
  <c r="I100" i="1"/>
  <c r="H100" i="1"/>
  <c r="G100" i="1"/>
  <c r="F100" i="1"/>
  <c r="E100" i="1"/>
  <c r="D100" i="1"/>
  <c r="L98" i="1"/>
  <c r="K98" i="1"/>
  <c r="J98" i="1"/>
  <c r="I98" i="1"/>
  <c r="H98" i="1"/>
  <c r="G98" i="1"/>
  <c r="F98" i="1"/>
  <c r="E98" i="1"/>
  <c r="D98" i="1"/>
  <c r="L97" i="1"/>
  <c r="K97" i="1"/>
  <c r="J97" i="1"/>
  <c r="I97" i="1"/>
  <c r="H97" i="1"/>
  <c r="G97" i="1"/>
  <c r="F97" i="1"/>
  <c r="E97" i="1"/>
  <c r="D97" i="1"/>
  <c r="L96" i="1"/>
  <c r="K96" i="1"/>
  <c r="J96" i="1"/>
  <c r="I96" i="1"/>
  <c r="H96" i="1"/>
  <c r="G96" i="1"/>
  <c r="F96" i="1"/>
  <c r="E96" i="1"/>
  <c r="D96" i="1"/>
  <c r="L95" i="1"/>
  <c r="K95" i="1"/>
  <c r="J95" i="1"/>
  <c r="I95" i="1"/>
  <c r="H95" i="1"/>
  <c r="G95" i="1"/>
  <c r="F95" i="1"/>
  <c r="E95" i="1"/>
  <c r="D95" i="1"/>
  <c r="L94" i="1"/>
  <c r="K94" i="1"/>
  <c r="J94" i="1"/>
  <c r="I94" i="1"/>
  <c r="H94" i="1"/>
  <c r="G94" i="1"/>
  <c r="F94" i="1"/>
  <c r="E94" i="1"/>
  <c r="D94" i="1"/>
  <c r="L93" i="1"/>
  <c r="K93" i="1"/>
  <c r="J93" i="1"/>
  <c r="I93" i="1"/>
  <c r="H93" i="1"/>
  <c r="G93" i="1"/>
  <c r="F93" i="1"/>
  <c r="E93" i="1"/>
  <c r="D93" i="1"/>
  <c r="L92" i="1"/>
  <c r="K92" i="1"/>
  <c r="J92" i="1"/>
  <c r="I92" i="1"/>
  <c r="H92" i="1"/>
  <c r="G92" i="1"/>
  <c r="F92" i="1"/>
  <c r="E92" i="1"/>
  <c r="D92" i="1"/>
  <c r="L90" i="1"/>
  <c r="K90" i="1"/>
  <c r="J90" i="1"/>
  <c r="I90" i="1"/>
  <c r="H90" i="1"/>
  <c r="G90" i="1"/>
  <c r="F90" i="1"/>
  <c r="E90" i="1"/>
  <c r="D90" i="1"/>
  <c r="L89" i="1"/>
  <c r="K89" i="1"/>
  <c r="J89" i="1"/>
  <c r="I89" i="1"/>
  <c r="H89" i="1"/>
  <c r="G89" i="1"/>
  <c r="F89" i="1"/>
  <c r="E89" i="1"/>
  <c r="D89" i="1"/>
  <c r="L88" i="1"/>
  <c r="K88" i="1"/>
  <c r="J88" i="1"/>
  <c r="I88" i="1"/>
  <c r="H88" i="1"/>
  <c r="G88" i="1"/>
  <c r="F88" i="1"/>
  <c r="E88" i="1"/>
  <c r="D88" i="1"/>
  <c r="L87" i="1"/>
  <c r="K87" i="1"/>
  <c r="J87" i="1"/>
  <c r="I87" i="1"/>
  <c r="H87" i="1"/>
  <c r="G87" i="1"/>
  <c r="F87" i="1"/>
  <c r="E87" i="1"/>
  <c r="D87" i="1"/>
  <c r="L86" i="1"/>
  <c r="K86" i="1"/>
  <c r="J86" i="1"/>
  <c r="I86" i="1"/>
  <c r="H86" i="1"/>
  <c r="G86" i="1"/>
  <c r="F86" i="1"/>
  <c r="E86" i="1"/>
  <c r="D86" i="1"/>
  <c r="L85" i="1"/>
  <c r="K85" i="1"/>
  <c r="J85" i="1"/>
  <c r="I85" i="1"/>
  <c r="H85" i="1"/>
  <c r="G85" i="1"/>
  <c r="F85" i="1"/>
  <c r="E85" i="1"/>
  <c r="D85" i="1"/>
  <c r="L84" i="1"/>
  <c r="K84" i="1"/>
  <c r="J84" i="1"/>
  <c r="I84" i="1"/>
  <c r="H84" i="1"/>
  <c r="G84" i="1"/>
  <c r="F84" i="1"/>
  <c r="E84" i="1"/>
  <c r="D84" i="1"/>
  <c r="L83" i="1"/>
  <c r="K83" i="1"/>
  <c r="J83" i="1"/>
  <c r="I83" i="1"/>
  <c r="H83" i="1"/>
  <c r="G83" i="1"/>
  <c r="F83" i="1"/>
  <c r="E83" i="1"/>
  <c r="D83" i="1"/>
  <c r="L82" i="1"/>
  <c r="K82" i="1"/>
  <c r="J82" i="1"/>
  <c r="I82" i="1"/>
  <c r="H82" i="1"/>
  <c r="G82" i="1"/>
  <c r="F82" i="1"/>
  <c r="E82" i="1"/>
  <c r="D82" i="1"/>
  <c r="L81" i="1"/>
  <c r="K81" i="1"/>
  <c r="J81" i="1"/>
  <c r="I81" i="1"/>
  <c r="H81" i="1"/>
  <c r="G81" i="1"/>
  <c r="F81" i="1"/>
  <c r="E81" i="1"/>
  <c r="D81" i="1"/>
  <c r="L80" i="1"/>
  <c r="K80" i="1"/>
  <c r="J80" i="1"/>
  <c r="I80" i="1"/>
  <c r="H80" i="1"/>
  <c r="G80" i="1"/>
  <c r="F80" i="1"/>
  <c r="E80" i="1"/>
  <c r="D80" i="1"/>
  <c r="L79" i="1"/>
  <c r="K79" i="1"/>
  <c r="J79" i="1"/>
  <c r="I79" i="1"/>
  <c r="H79" i="1"/>
  <c r="G79" i="1"/>
  <c r="F79" i="1"/>
  <c r="E79" i="1"/>
  <c r="D79" i="1"/>
  <c r="L78" i="1"/>
  <c r="K78" i="1"/>
  <c r="J78" i="1"/>
  <c r="I78" i="1"/>
  <c r="H78" i="1"/>
  <c r="G78" i="1"/>
  <c r="F78" i="1"/>
  <c r="E78" i="1"/>
  <c r="D78" i="1"/>
  <c r="L77" i="1"/>
  <c r="K77" i="1"/>
  <c r="J77" i="1"/>
  <c r="I77" i="1"/>
  <c r="H77" i="1"/>
  <c r="G77" i="1"/>
  <c r="F77" i="1"/>
  <c r="E77" i="1"/>
  <c r="D77" i="1"/>
  <c r="L76" i="1"/>
  <c r="K76" i="1"/>
  <c r="J76" i="1"/>
  <c r="I76" i="1"/>
  <c r="H76" i="1"/>
  <c r="G76" i="1"/>
  <c r="F76" i="1"/>
  <c r="E76" i="1"/>
  <c r="D76" i="1"/>
  <c r="L75" i="1"/>
  <c r="K75" i="1"/>
  <c r="J75" i="1"/>
  <c r="I75" i="1"/>
  <c r="H75" i="1"/>
  <c r="G75" i="1"/>
  <c r="F75" i="1"/>
  <c r="E75" i="1"/>
  <c r="D75" i="1"/>
  <c r="L74" i="1"/>
  <c r="K74" i="1"/>
  <c r="J74" i="1"/>
  <c r="I74" i="1"/>
  <c r="H74" i="1"/>
  <c r="G74" i="1"/>
  <c r="F74" i="1"/>
  <c r="E74" i="1"/>
  <c r="D74" i="1"/>
  <c r="L73" i="1"/>
  <c r="K73" i="1"/>
  <c r="J73" i="1"/>
  <c r="I73" i="1"/>
  <c r="H73" i="1"/>
  <c r="G73" i="1"/>
  <c r="F73" i="1"/>
  <c r="E73" i="1"/>
  <c r="D73" i="1"/>
  <c r="L72" i="1"/>
  <c r="K72" i="1"/>
  <c r="J72" i="1"/>
  <c r="I72" i="1"/>
  <c r="H72" i="1"/>
  <c r="G72" i="1"/>
  <c r="F72" i="1"/>
  <c r="E72" i="1"/>
  <c r="D72" i="1"/>
  <c r="L71" i="1"/>
  <c r="K71" i="1"/>
  <c r="J71" i="1"/>
  <c r="I71" i="1"/>
  <c r="H71" i="1"/>
  <c r="G71" i="1"/>
  <c r="F71" i="1"/>
  <c r="E71" i="1"/>
  <c r="D71" i="1"/>
  <c r="L69" i="1"/>
  <c r="K69" i="1"/>
  <c r="J69" i="1"/>
  <c r="I69" i="1"/>
  <c r="H69" i="1"/>
  <c r="G69" i="1"/>
  <c r="F69" i="1"/>
  <c r="E69" i="1"/>
  <c r="D69" i="1"/>
  <c r="L68" i="1"/>
  <c r="K68" i="1"/>
  <c r="J68" i="1"/>
  <c r="I68" i="1"/>
  <c r="H68" i="1"/>
  <c r="G68" i="1"/>
  <c r="F68" i="1"/>
  <c r="E68" i="1"/>
  <c r="D68" i="1"/>
  <c r="L67" i="1"/>
  <c r="K67" i="1"/>
  <c r="J67" i="1"/>
  <c r="I67" i="1"/>
  <c r="H67" i="1"/>
  <c r="G67" i="1"/>
  <c r="F67" i="1"/>
  <c r="E67" i="1"/>
  <c r="D67" i="1"/>
  <c r="L66" i="1"/>
  <c r="K66" i="1"/>
  <c r="J66" i="1"/>
  <c r="I66" i="1"/>
  <c r="H66" i="1"/>
  <c r="G66" i="1"/>
  <c r="F66" i="1"/>
  <c r="E66" i="1"/>
  <c r="D66" i="1"/>
  <c r="L65" i="1"/>
  <c r="K65" i="1"/>
  <c r="J65" i="1"/>
  <c r="I65" i="1"/>
  <c r="H65" i="1"/>
  <c r="G65" i="1"/>
  <c r="F65" i="1"/>
  <c r="E65" i="1"/>
  <c r="D65" i="1"/>
  <c r="L64" i="1"/>
  <c r="K64" i="1"/>
  <c r="J64" i="1"/>
  <c r="I64" i="1"/>
  <c r="H64" i="1"/>
  <c r="G64" i="1"/>
  <c r="F64" i="1"/>
  <c r="E64" i="1"/>
  <c r="D64" i="1"/>
  <c r="L63" i="1"/>
  <c r="K63" i="1"/>
  <c r="J63" i="1"/>
  <c r="I63" i="1"/>
  <c r="H63" i="1"/>
  <c r="G63" i="1"/>
  <c r="F63" i="1"/>
  <c r="E63" i="1"/>
  <c r="D63" i="1"/>
  <c r="L62" i="1"/>
  <c r="K62" i="1"/>
  <c r="J62" i="1"/>
  <c r="I62" i="1"/>
  <c r="H62" i="1"/>
  <c r="G62" i="1"/>
  <c r="F62" i="1"/>
  <c r="E62" i="1"/>
  <c r="D62" i="1"/>
  <c r="L60" i="1"/>
  <c r="K60" i="1"/>
  <c r="J60" i="1"/>
  <c r="I60" i="1"/>
  <c r="H60" i="1"/>
  <c r="G60" i="1"/>
  <c r="F60" i="1"/>
  <c r="E60" i="1"/>
  <c r="D60" i="1"/>
  <c r="L59" i="1"/>
  <c r="K59" i="1"/>
  <c r="J59" i="1"/>
  <c r="I59" i="1"/>
  <c r="H59" i="1"/>
  <c r="G59" i="1"/>
  <c r="F59" i="1"/>
  <c r="E59" i="1"/>
  <c r="D59" i="1"/>
  <c r="L56" i="1"/>
  <c r="K56" i="1"/>
  <c r="J56" i="1"/>
  <c r="I56" i="1"/>
  <c r="H56" i="1"/>
  <c r="G56" i="1"/>
  <c r="F56" i="1"/>
  <c r="E56" i="1"/>
  <c r="D56" i="1"/>
  <c r="L55" i="1"/>
  <c r="K55" i="1"/>
  <c r="J55" i="1"/>
  <c r="I55" i="1"/>
  <c r="H55" i="1"/>
  <c r="G55" i="1"/>
  <c r="F55" i="1"/>
  <c r="E55" i="1"/>
  <c r="D55" i="1"/>
  <c r="L54" i="1"/>
  <c r="K54" i="1"/>
  <c r="J54" i="1"/>
  <c r="I54" i="1"/>
  <c r="H54" i="1"/>
  <c r="G54" i="1"/>
  <c r="F54" i="1"/>
  <c r="E54" i="1"/>
  <c r="D54" i="1"/>
  <c r="L53" i="1"/>
  <c r="K53" i="1"/>
  <c r="J53" i="1"/>
  <c r="J58" i="1" s="1"/>
  <c r="I53" i="1"/>
  <c r="I58" i="1" s="1"/>
  <c r="H53" i="1"/>
  <c r="G53" i="1"/>
  <c r="F53" i="1"/>
  <c r="F58" i="1" s="1"/>
  <c r="E53" i="1"/>
  <c r="E58" i="1" s="1"/>
  <c r="D53" i="1"/>
  <c r="L52" i="1"/>
  <c r="K52" i="1"/>
  <c r="J52" i="1"/>
  <c r="I52" i="1"/>
  <c r="H52" i="1"/>
  <c r="G52" i="1"/>
  <c r="F52" i="1"/>
  <c r="E52" i="1"/>
  <c r="D52" i="1"/>
  <c r="L51" i="1"/>
  <c r="K51" i="1"/>
  <c r="J51" i="1"/>
  <c r="I51" i="1"/>
  <c r="H51" i="1"/>
  <c r="G51" i="1"/>
  <c r="F51" i="1"/>
  <c r="E51" i="1"/>
  <c r="D51" i="1"/>
  <c r="L50" i="1"/>
  <c r="K50" i="1"/>
  <c r="J50" i="1"/>
  <c r="I50" i="1"/>
  <c r="H50" i="1"/>
  <c r="G50" i="1"/>
  <c r="F50" i="1"/>
  <c r="E50" i="1"/>
  <c r="D50" i="1"/>
  <c r="L48" i="1"/>
  <c r="K48" i="1"/>
  <c r="J48" i="1"/>
  <c r="I48" i="1"/>
  <c r="H48" i="1"/>
  <c r="G48" i="1"/>
  <c r="F48" i="1"/>
  <c r="E48" i="1"/>
  <c r="D48" i="1"/>
  <c r="L47" i="1"/>
  <c r="K47" i="1"/>
  <c r="J47" i="1"/>
  <c r="I47" i="1"/>
  <c r="H47" i="1"/>
  <c r="G47" i="1"/>
  <c r="F47" i="1"/>
  <c r="E47" i="1"/>
  <c r="D47" i="1"/>
  <c r="L45" i="1"/>
  <c r="K45" i="1"/>
  <c r="J45" i="1"/>
  <c r="I45" i="1"/>
  <c r="H45" i="1"/>
  <c r="G45" i="1"/>
  <c r="F45" i="1"/>
  <c r="E45" i="1"/>
  <c r="D45" i="1"/>
  <c r="L44" i="1"/>
  <c r="K44" i="1"/>
  <c r="J44" i="1"/>
  <c r="I44" i="1"/>
  <c r="H44" i="1"/>
  <c r="G44" i="1"/>
  <c r="F44" i="1"/>
  <c r="E44" i="1"/>
  <c r="D44" i="1"/>
  <c r="L43" i="1"/>
  <c r="K43" i="1"/>
  <c r="J43" i="1"/>
  <c r="I43" i="1"/>
  <c r="H43" i="1"/>
  <c r="G43" i="1"/>
  <c r="F43" i="1"/>
  <c r="E43" i="1"/>
  <c r="D43" i="1"/>
  <c r="L42" i="1"/>
  <c r="K42" i="1"/>
  <c r="J42" i="1"/>
  <c r="I42" i="1"/>
  <c r="H42" i="1"/>
  <c r="G42" i="1"/>
  <c r="F42" i="1"/>
  <c r="E42" i="1"/>
  <c r="D42" i="1"/>
  <c r="L41" i="1"/>
  <c r="K41" i="1"/>
  <c r="J41" i="1"/>
  <c r="I41" i="1"/>
  <c r="H41" i="1"/>
  <c r="G41" i="1"/>
  <c r="F41" i="1"/>
  <c r="E41" i="1"/>
  <c r="D41" i="1"/>
  <c r="L40" i="1"/>
  <c r="K40" i="1"/>
  <c r="J40" i="1"/>
  <c r="I40" i="1"/>
  <c r="H40" i="1"/>
  <c r="G40" i="1"/>
  <c r="F40" i="1"/>
  <c r="E40" i="1"/>
  <c r="D40" i="1"/>
  <c r="L39" i="1"/>
  <c r="K39" i="1"/>
  <c r="J39" i="1"/>
  <c r="I39" i="1"/>
  <c r="H39" i="1"/>
  <c r="G39" i="1"/>
  <c r="F39" i="1"/>
  <c r="E39" i="1"/>
  <c r="D39" i="1"/>
  <c r="L38" i="1"/>
  <c r="K38" i="1"/>
  <c r="J38" i="1"/>
  <c r="I38" i="1"/>
  <c r="H38" i="1"/>
  <c r="G38" i="1"/>
  <c r="F38" i="1"/>
  <c r="E38" i="1"/>
  <c r="D38" i="1"/>
  <c r="L37" i="1"/>
  <c r="K37" i="1"/>
  <c r="J37" i="1"/>
  <c r="I37" i="1"/>
  <c r="H37" i="1"/>
  <c r="G37" i="1"/>
  <c r="F37" i="1"/>
  <c r="E37" i="1"/>
  <c r="D37" i="1"/>
  <c r="L36" i="1"/>
  <c r="K36" i="1"/>
  <c r="J36" i="1"/>
  <c r="I36" i="1"/>
  <c r="H36" i="1"/>
  <c r="G36" i="1"/>
  <c r="F36" i="1"/>
  <c r="E36" i="1"/>
  <c r="D36" i="1"/>
  <c r="L35" i="1"/>
  <c r="K35" i="1"/>
  <c r="J35" i="1"/>
  <c r="I35" i="1"/>
  <c r="H35" i="1"/>
  <c r="G35" i="1"/>
  <c r="F35" i="1"/>
  <c r="E35" i="1"/>
  <c r="D35" i="1"/>
  <c r="L34" i="1"/>
  <c r="K34" i="1"/>
  <c r="J34" i="1"/>
  <c r="I34" i="1"/>
  <c r="H34" i="1"/>
  <c r="G34" i="1"/>
  <c r="F34" i="1"/>
  <c r="E34" i="1"/>
  <c r="D34" i="1"/>
  <c r="L33" i="1"/>
  <c r="K33" i="1"/>
  <c r="J33" i="1"/>
  <c r="I33" i="1"/>
  <c r="H33" i="1"/>
  <c r="G33" i="1"/>
  <c r="F33" i="1"/>
  <c r="E33" i="1"/>
  <c r="D33" i="1"/>
  <c r="L32" i="1"/>
  <c r="K32" i="1"/>
  <c r="J32" i="1"/>
  <c r="I32" i="1"/>
  <c r="H32" i="1"/>
  <c r="G32" i="1"/>
  <c r="F32" i="1"/>
  <c r="E32" i="1"/>
  <c r="D32" i="1"/>
  <c r="L31" i="1"/>
  <c r="K31" i="1"/>
  <c r="J31" i="1"/>
  <c r="I31" i="1"/>
  <c r="H31" i="1"/>
  <c r="G31" i="1"/>
  <c r="F31" i="1"/>
  <c r="E31" i="1"/>
  <c r="D31" i="1"/>
  <c r="L30" i="1"/>
  <c r="K30" i="1"/>
  <c r="J30" i="1"/>
  <c r="I30" i="1"/>
  <c r="H30" i="1"/>
  <c r="G30" i="1"/>
  <c r="F30" i="1"/>
  <c r="E30" i="1"/>
  <c r="D30" i="1"/>
  <c r="L29" i="1"/>
  <c r="K29" i="1"/>
  <c r="J29" i="1"/>
  <c r="I29" i="1"/>
  <c r="H29" i="1"/>
  <c r="G29" i="1"/>
  <c r="F29" i="1"/>
  <c r="E29" i="1"/>
  <c r="D29" i="1"/>
  <c r="L28" i="1"/>
  <c r="K28" i="1"/>
  <c r="J28" i="1"/>
  <c r="I28" i="1"/>
  <c r="H28" i="1"/>
  <c r="G28" i="1"/>
  <c r="F28" i="1"/>
  <c r="E28" i="1"/>
  <c r="D28" i="1"/>
  <c r="L27" i="1"/>
  <c r="K27" i="1"/>
  <c r="J27" i="1"/>
  <c r="I27" i="1"/>
  <c r="H27" i="1"/>
  <c r="G27" i="1"/>
  <c r="F27" i="1"/>
  <c r="E27" i="1"/>
  <c r="D27" i="1"/>
  <c r="L26" i="1"/>
  <c r="K26" i="1"/>
  <c r="J26" i="1"/>
  <c r="I26" i="1"/>
  <c r="H26" i="1"/>
  <c r="G26" i="1"/>
  <c r="F26" i="1"/>
  <c r="E26" i="1"/>
  <c r="D26" i="1"/>
  <c r="L25" i="1"/>
  <c r="K25" i="1"/>
  <c r="J25" i="1"/>
  <c r="I25" i="1"/>
  <c r="H25" i="1"/>
  <c r="G25" i="1"/>
  <c r="F25" i="1"/>
  <c r="E25" i="1"/>
  <c r="D25" i="1"/>
  <c r="L24" i="1"/>
  <c r="K24" i="1"/>
  <c r="J24" i="1"/>
  <c r="I24" i="1"/>
  <c r="H24" i="1"/>
  <c r="G24" i="1"/>
  <c r="F24" i="1"/>
  <c r="E24" i="1"/>
  <c r="D24" i="1"/>
  <c r="L23" i="1"/>
  <c r="K23" i="1"/>
  <c r="J23" i="1"/>
  <c r="I23" i="1"/>
  <c r="H23" i="1"/>
  <c r="G23" i="1"/>
  <c r="F23" i="1"/>
  <c r="E23" i="1"/>
  <c r="D23" i="1"/>
  <c r="L22" i="1"/>
  <c r="K22" i="1"/>
  <c r="J22" i="1"/>
  <c r="I22" i="1"/>
  <c r="H22" i="1"/>
  <c r="G22" i="1"/>
  <c r="F22" i="1"/>
  <c r="E22" i="1"/>
  <c r="D22" i="1"/>
  <c r="L21" i="1"/>
  <c r="K21" i="1"/>
  <c r="J21" i="1"/>
  <c r="I21" i="1"/>
  <c r="H21" i="1"/>
  <c r="G21" i="1"/>
  <c r="F21" i="1"/>
  <c r="E21" i="1"/>
  <c r="D21" i="1"/>
  <c r="L20" i="1"/>
  <c r="K20" i="1"/>
  <c r="J20" i="1"/>
  <c r="I20" i="1"/>
  <c r="H20" i="1"/>
  <c r="G20" i="1"/>
  <c r="F20" i="1"/>
  <c r="E20" i="1"/>
  <c r="D20" i="1"/>
  <c r="L19" i="1"/>
  <c r="K19" i="1"/>
  <c r="J19" i="1"/>
  <c r="I19" i="1"/>
  <c r="H19" i="1"/>
  <c r="G19" i="1"/>
  <c r="F19" i="1"/>
  <c r="E19" i="1"/>
  <c r="D19" i="1"/>
  <c r="L18" i="1"/>
  <c r="K18" i="1"/>
  <c r="J18" i="1"/>
  <c r="I18" i="1"/>
  <c r="H18" i="1"/>
  <c r="G18" i="1"/>
  <c r="F18" i="1"/>
  <c r="E18" i="1"/>
  <c r="D18" i="1"/>
  <c r="L17" i="1"/>
  <c r="K17" i="1"/>
  <c r="J17" i="1"/>
  <c r="I17" i="1"/>
  <c r="H17" i="1"/>
  <c r="G17" i="1"/>
  <c r="F17" i="1"/>
  <c r="E17" i="1"/>
  <c r="D17" i="1"/>
  <c r="L16" i="1"/>
  <c r="K16" i="1"/>
  <c r="J16" i="1"/>
  <c r="I16" i="1"/>
  <c r="H16" i="1"/>
  <c r="G16" i="1"/>
  <c r="F16" i="1"/>
  <c r="E16" i="1"/>
  <c r="D16" i="1"/>
  <c r="L15" i="1"/>
  <c r="K15" i="1"/>
  <c r="J15" i="1"/>
  <c r="I15" i="1"/>
  <c r="H15" i="1"/>
  <c r="G15" i="1"/>
  <c r="F15" i="1"/>
  <c r="E15" i="1"/>
  <c r="D15" i="1"/>
  <c r="L14" i="1"/>
  <c r="K14" i="1"/>
  <c r="J14" i="1"/>
  <c r="I14" i="1"/>
  <c r="H14" i="1"/>
  <c r="G14" i="1"/>
  <c r="F14" i="1"/>
  <c r="E14" i="1"/>
  <c r="D14" i="1"/>
  <c r="L13" i="1"/>
  <c r="K13" i="1"/>
  <c r="J13" i="1"/>
  <c r="I13" i="1"/>
  <c r="H13" i="1"/>
  <c r="G13" i="1"/>
  <c r="F13" i="1"/>
  <c r="E13" i="1"/>
  <c r="D13" i="1"/>
  <c r="L12" i="1"/>
  <c r="K12" i="1"/>
  <c r="J12" i="1"/>
  <c r="I12" i="1"/>
  <c r="H12" i="1"/>
  <c r="G12" i="1"/>
  <c r="F12" i="1"/>
  <c r="E12" i="1"/>
  <c r="D12" i="1"/>
  <c r="L11" i="1"/>
  <c r="K11" i="1"/>
  <c r="J11" i="1"/>
  <c r="I11" i="1"/>
  <c r="H11" i="1"/>
  <c r="G11" i="1"/>
  <c r="F11" i="1"/>
  <c r="E11" i="1"/>
  <c r="D11" i="1"/>
  <c r="L10" i="1"/>
  <c r="K10" i="1"/>
  <c r="J10" i="1"/>
  <c r="I10" i="1"/>
  <c r="H10" i="1"/>
  <c r="G10" i="1"/>
  <c r="F10" i="1"/>
  <c r="E10" i="1"/>
  <c r="D10" i="1"/>
  <c r="L9" i="1"/>
  <c r="K9" i="1"/>
  <c r="J9" i="1"/>
  <c r="I9" i="1"/>
  <c r="H9" i="1"/>
  <c r="G9" i="1"/>
  <c r="F9" i="1"/>
  <c r="E9" i="1"/>
  <c r="D9" i="1"/>
  <c r="L8" i="1"/>
  <c r="K8" i="1"/>
  <c r="J8" i="1"/>
  <c r="I8" i="1"/>
  <c r="H8" i="1"/>
  <c r="G8" i="1"/>
  <c r="F8" i="1"/>
  <c r="E8" i="1"/>
  <c r="D8" i="1"/>
  <c r="L7" i="1"/>
  <c r="K7" i="1"/>
  <c r="J7" i="1"/>
  <c r="I7" i="1"/>
  <c r="H7" i="1"/>
  <c r="G7" i="1"/>
  <c r="F7" i="1"/>
  <c r="E7" i="1"/>
  <c r="D7" i="1"/>
  <c r="L6" i="1"/>
  <c r="K6" i="1"/>
  <c r="J6" i="1"/>
  <c r="I6" i="1"/>
  <c r="H6" i="1"/>
  <c r="G6" i="1"/>
  <c r="F6" i="1"/>
  <c r="E6" i="1"/>
  <c r="D6" i="1"/>
  <c r="E5" i="1"/>
  <c r="F5" i="1" s="1"/>
  <c r="G5" i="1" s="1"/>
  <c r="H5" i="1" s="1"/>
  <c r="I5" i="1" s="1"/>
  <c r="J5" i="1" s="1"/>
  <c r="K5" i="1" s="1"/>
  <c r="L5" i="1" s="1"/>
  <c r="D57" i="1" l="1"/>
  <c r="H57" i="1"/>
  <c r="L57" i="1"/>
  <c r="H58" i="1"/>
  <c r="G57" i="1"/>
  <c r="K57" i="1"/>
  <c r="G58" i="1"/>
  <c r="K58" i="1"/>
  <c r="L58" i="1"/>
  <c r="D58" i="1"/>
  <c r="E57" i="1"/>
  <c r="I57" i="1"/>
  <c r="F57" i="1"/>
  <c r="J57" i="1"/>
</calcChain>
</file>

<file path=xl/sharedStrings.xml><?xml version="1.0" encoding="utf-8"?>
<sst xmlns="http://schemas.openxmlformats.org/spreadsheetml/2006/main" count="278" uniqueCount="194">
  <si>
    <t>Lp.</t>
  </si>
  <si>
    <t>Wyszczególnienie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</si>
  <si>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</si>
  <si>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</si>
  <si>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</si>
  <si>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</si>
  <si>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</si>
  <si>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</si>
  <si>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</si>
  <si>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</si>
  <si>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</si>
  <si>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</si>
  <si>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</si>
  <si>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</si>
  <si>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</si>
  <si>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</si>
  <si>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</si>
  <si>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</si>
  <si>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Dochody majątkowe, w tym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</si>
  <si>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</si>
  <si>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</si>
  <si>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</si>
  <si>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</si>
  <si>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</si>
  <si>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</si>
  <si>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</si>
  <si>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</si>
  <si>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</si>
  <si>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</si>
  <si>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</si>
  <si>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</si>
  <si>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</si>
  <si>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</si>
  <si>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</si>
  <si>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</si>
  <si>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</si>
  <si>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</si>
  <si>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</si>
  <si>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</si>
  <si>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 zaciągniętych na wkład krajowy</t>
  </si>
  <si>
    <t>2.2</t>
  </si>
  <si>
    <t>Wydatki majątkowe</t>
  </si>
  <si>
    <t>Wynik budżetu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</si>
  <si>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</si>
  <si>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</si>
  <si>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</si>
  <si>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</si>
  <si>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</si>
  <si>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</si>
  <si>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</si>
  <si>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</si>
  <si>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</si>
  <si>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</si>
  <si>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</si>
  <si>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</si>
  <si>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 xml:space="preserve"> Inne przychody niezwiązane z zaciągnięciem długu</t>
  </si>
  <si>
    <t>4.4.1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</si>
  <si>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</si>
  <si>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</si>
  <si>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</si>
  <si>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</si>
  <si>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</si>
  <si>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</si>
  <si>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kwota przypadających na dany rok kwot ustawowych wyłączeń określonych w art. 243 ust. 3 ustawy</t>
  </si>
  <si>
    <t>5.1.1.2</t>
  </si>
  <si>
    <t>kwota przypadających na dany rok kwot ustawowych wyłączeń określonych w art. 243 ust. 3a ustawy</t>
  </si>
  <si>
    <t>5.1.1.3</t>
  </si>
  <si>
    <t>kwota przypadających na dany rok kwot ustawowych wyłączeń innych niż określone w art. 243 ustawy</t>
  </si>
  <si>
    <t>5.2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</si>
  <si>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</si>
  <si>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</si>
  <si>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</si>
  <si>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</si>
  <si>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x</t>
  </si>
  <si>
    <t>8.1</t>
  </si>
  <si>
    <t>Różnica między dochodami bieżącymi a  wydatkami bieżącymi</t>
  </si>
  <si>
    <t>8.2</t>
  </si>
  <si>
    <t>Różnica między dochodami bieżącymi, skorygowanymi o środki a wydatkami bieżącymi, pomniejszonymi  o wydatki</t>
  </si>
  <si>
    <t>Wskaźnik spłaty zobowiązań</t>
  </si>
  <si>
    <t>9.1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</si>
  <si>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</si>
  <si>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9.2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</si>
  <si>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</si>
  <si>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</si>
  <si>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</si>
  <si>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</si>
  <si>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</si>
  <si>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</si>
  <si>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</si>
  <si>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</si>
  <si>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</si>
  <si>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>9.6.1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</si>
  <si>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</si>
  <si>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</si>
  <si>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</si>
  <si>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</si>
  <si>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</si>
  <si>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</si>
  <si>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</si>
  <si>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>Spłaty kredytów, pożyczek i wykup papierów wartościowych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</si>
  <si>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</si>
  <si>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</si>
  <si>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</si>
  <si>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</si>
  <si>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</si>
  <si>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</si>
  <si>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</si>
  <si>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</si>
  <si>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</si>
  <si>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</si>
  <si>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</si>
  <si>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</si>
  <si>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 xml:space="preserve">Wydatki inwestycyjne kontynuowane </t>
  </si>
  <si>
    <t>11.5</t>
  </si>
  <si>
    <t>Nowe wydatki inwestycyjne</t>
  </si>
  <si>
    <t>11.6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</si>
  <si>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</si>
  <si>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</si>
  <si>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</si>
  <si>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>Dochody bieżące  na programy, projekty lub zadania finansowane z udziałem środków, o których mowa w art. 5 ust. 1 pkt 2 i 3 ustawy</t>
  </si>
  <si>
    <t>12.1.1</t>
  </si>
  <si>
    <t>-  w tym środki określone w art. 5 ust. 1 pkt 2 ustawy</t>
  </si>
  <si>
    <t>12.1.1.1</t>
  </si>
  <si>
    <t>- w tym środki określone w art. 5 ust. 1 pkt 2 ustawy wynikające wyłącznie z  zawartych umów na realizację programu, projektu lub zadania</t>
  </si>
  <si>
    <t>12.2</t>
  </si>
  <si>
    <t>Dochody majątkowe  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</si>
  <si>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</si>
  <si>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</si>
  <si>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</si>
  <si>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</si>
  <si>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</si>
  <si>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</si>
  <si>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 xml:space="preserve">-  w tym finansowane środkami określonymi w art. 5 ust. 1 pkt 2 ustawy </t>
  </si>
  <si>
    <t>12.3.2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</si>
  <si>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</si>
  <si>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</si>
  <si>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>Wydatki majątkowe na programy, projekty lub zadania finansowane z udziałem środków, o których mowa w art. 5 ust. 1 pkt 2 i 3 ustawy</t>
  </si>
  <si>
    <t>12.4.1</t>
  </si>
  <si>
    <t>-  w tym finansowane środkami określonymi w art. 5 ust. 1 pkt 2 ustawy</t>
  </si>
  <si>
    <t>12.4.2</t>
  </si>
  <si>
    <t xml:space="preserve">Wydatki majątkowe na realizację programu, projektu lub zadania wynikające wyłącznie z zawartych umów z podmiotem dysponującym środkami, o których mowa w art. 5 ust. 1 pkt 2 ustawy </t>
  </si>
  <si>
    <t>12.5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</si>
  <si>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</si>
  <si>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</si>
  <si>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>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</si>
  <si>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</si>
  <si>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</si>
  <si>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</si>
  <si>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</si>
  <si>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</si>
  <si>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</si>
  <si>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</si>
  <si>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</si>
  <si>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</si>
  <si>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</si>
  <si>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</si>
  <si>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</si>
  <si>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</si>
  <si>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Nr 112, poz. 654,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</si>
  <si>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</si>
  <si>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</si>
  <si>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</si>
  <si>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 o działalności leczniczej</t>
  </si>
  <si>
    <t>13.5</t>
  </si>
  <si>
    <t>Wydatki na spłatę przejętych zobowiązań samodzielnego publicznego zakładu opieki zdrowotnej likwidowanego na zasadach określonych w przepisach  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</si>
  <si>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</si>
  <si>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</si>
  <si>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</si>
  <si>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</si>
  <si>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</si>
  <si>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</si>
  <si>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</si>
  <si>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</si>
  <si>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</si>
  <si>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</si>
  <si>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</si>
  <si>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</si>
  <si>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</si>
  <si>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</si>
  <si>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do państwowego długu publicznego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</si>
  <si>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</si>
  <si>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</si>
  <si>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</si>
  <si>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</si>
  <si>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>Dane dotyczące emitowanych obligacji przychodowych</t>
  </si>
  <si>
    <t>15.1</t>
  </si>
  <si>
    <t>Środki z przedsięwzięcia gromadzone na rachunku bankowym,  w tym:</t>
  </si>
  <si>
    <t>15.1.1</t>
  </si>
  <si>
    <t>środki na zaspokojenie roszczeń obligatariuszy</t>
  </si>
  <si>
    <t>15.2</t>
  </si>
  <si>
    <t>Wydatki bieżące z tytułu świadczenia emitenta należnego obligatariuszom,  nieuwzględniane  w limicie spłaty zobowiązań, o którym mowa w art. 243 ustawy</t>
  </si>
  <si>
    <t>Plan</t>
  </si>
  <si>
    <t>Wykonanie za I półrocze 2016</t>
  </si>
  <si>
    <t>Realizacja Wieloletniej Prognozy Finansowej Powiatu Świdwińskiego za I półrocze 2016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</si>
</sst>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0.00%;[Red]\-0.00%"/>
    <numFmt numFmtId="166" formatCode="#,##0.00;[Red]#,##0.00"/>
  </numFmts>
  <fonts count="13"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8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2"/>
    </xf>
    <xf numFmtId="0" fontId="4" fillId="0" borderId="2" xfId="0" applyFont="1" applyBorder="1" applyAlignment="1">
      <alignment horizontal="left" vertical="center" wrapText="1" indent="3"/>
    </xf>
    <xf numFmtId="0" fontId="4" fillId="0" borderId="2" xfId="0" applyFont="1" applyBorder="1" applyAlignment="1">
      <alignment horizontal="left" vertical="center" wrapText="1" indent="4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4" fillId="0" borderId="2" xfId="0" quotePrefix="1" applyFont="1" applyBorder="1" applyAlignment="1">
      <alignment horizontal="left" vertical="center" wrapText="1" indent="2"/>
    </xf>
    <xf numFmtId="0" fontId="4" fillId="0" borderId="2" xfId="0" quotePrefix="1" applyFont="1" applyBorder="1" applyAlignment="1">
      <alignment horizontal="left" vertical="center" wrapText="1" indent="3"/>
    </xf>
    <xf numFmtId="0" fontId="3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 indent="1"/>
    </xf>
    <xf numFmtId="164" fontId="7" fillId="0" borderId="6" xfId="1" applyNumberFormat="1" applyFont="1" applyFill="1" applyBorder="1" applyAlignment="1">
      <alignment vertical="center" shrinkToFit="1"/>
    </xf>
    <xf numFmtId="164" fontId="7" fillId="0" borderId="4" xfId="1" applyNumberFormat="1" applyFont="1" applyFill="1" applyBorder="1" applyAlignment="1">
      <alignment vertical="center" shrinkToFit="1"/>
    </xf>
    <xf numFmtId="164" fontId="9" fillId="0" borderId="6" xfId="1" applyNumberFormat="1" applyFont="1" applyFill="1" applyBorder="1" applyAlignment="1">
      <alignment vertical="center" shrinkToFit="1"/>
    </xf>
    <xf numFmtId="164" fontId="9" fillId="0" borderId="4" xfId="1" applyNumberFormat="1" applyFont="1" applyFill="1" applyBorder="1" applyAlignment="1">
      <alignment vertical="center" shrinkToFit="1"/>
    </xf>
    <xf numFmtId="164" fontId="7" fillId="0" borderId="6" xfId="1" applyNumberFormat="1" applyFont="1" applyFill="1" applyBorder="1" applyAlignment="1">
      <alignment horizontal="center" vertical="center" shrinkToFit="1"/>
    </xf>
    <xf numFmtId="164" fontId="7" fillId="0" borderId="4" xfId="1" applyNumberFormat="1" applyFont="1" applyFill="1" applyBorder="1" applyAlignment="1">
      <alignment horizontal="center" vertical="center" shrinkToFit="1"/>
    </xf>
    <xf numFmtId="165" fontId="9" fillId="0" borderId="6" xfId="1" applyNumberFormat="1" applyFont="1" applyFill="1" applyBorder="1" applyAlignment="1">
      <alignment vertical="center" shrinkToFit="1"/>
    </xf>
    <xf numFmtId="165" fontId="9" fillId="0" borderId="4" xfId="1" applyNumberFormat="1" applyFont="1" applyFill="1" applyBorder="1" applyAlignment="1">
      <alignment vertical="center" shrinkToFit="1"/>
    </xf>
    <xf numFmtId="0" fontId="9" fillId="0" borderId="6" xfId="1" applyNumberFormat="1" applyFont="1" applyFill="1" applyBorder="1" applyAlignment="1">
      <alignment horizontal="center" vertical="center" shrinkToFit="1"/>
    </xf>
    <xf numFmtId="0" fontId="9" fillId="0" borderId="4" xfId="1" applyNumberFormat="1" applyFont="1" applyFill="1" applyBorder="1" applyAlignment="1">
      <alignment horizontal="center" vertical="center" shrinkToFit="1"/>
    </xf>
    <xf numFmtId="164" fontId="9" fillId="0" borderId="11" xfId="1" applyNumberFormat="1" applyFont="1" applyFill="1" applyBorder="1" applyAlignment="1">
      <alignment vertical="center" shrinkToFit="1"/>
    </xf>
    <xf numFmtId="164" fontId="9" fillId="0" borderId="9" xfId="1" applyNumberFormat="1" applyFont="1" applyFill="1" applyBorder="1" applyAlignment="1">
      <alignment vertical="center" shrinkToFit="1"/>
    </xf>
    <xf numFmtId="164" fontId="7" fillId="0" borderId="16" xfId="1" applyNumberFormat="1" applyFont="1" applyFill="1" applyBorder="1" applyAlignment="1">
      <alignment horizontal="center" vertical="center" shrinkToFit="1"/>
    </xf>
    <xf numFmtId="164" fontId="7" fillId="0" borderId="14" xfId="1" applyNumberFormat="1" applyFont="1" applyFill="1" applyBorder="1" applyAlignment="1">
      <alignment horizontal="center" vertical="center" shrinkToFit="1"/>
    </xf>
    <xf numFmtId="164" fontId="9" fillId="0" borderId="21" xfId="1" applyNumberFormat="1" applyFont="1" applyFill="1" applyBorder="1" applyAlignment="1">
      <alignment vertical="center" shrinkToFit="1"/>
    </xf>
    <xf numFmtId="164" fontId="9" fillId="0" borderId="19" xfId="1" applyNumberFormat="1" applyFont="1" applyFill="1" applyBorder="1" applyAlignment="1">
      <alignment vertical="center" shrinkToFit="1"/>
    </xf>
    <xf numFmtId="0" fontId="10" fillId="0" borderId="0" xfId="0" applyFont="1"/>
    <xf numFmtId="0" fontId="8" fillId="0" borderId="0" xfId="0" applyFont="1"/>
    <xf numFmtId="0" fontId="12" fillId="0" borderId="0" xfId="0" applyFont="1"/>
    <xf numFmtId="1" fontId="7" fillId="2" borderId="12" xfId="1" applyNumberFormat="1" applyFont="1" applyFill="1" applyBorder="1" applyAlignment="1">
      <alignment horizontal="center" vertical="center"/>
    </xf>
    <xf numFmtId="1" fontId="7" fillId="2" borderId="14" xfId="1" applyNumberFormat="1" applyFont="1" applyFill="1" applyBorder="1" applyAlignment="1">
      <alignment horizontal="center" vertical="center"/>
    </xf>
    <xf numFmtId="1" fontId="7" fillId="2" borderId="15" xfId="1" applyNumberFormat="1" applyFont="1" applyFill="1" applyBorder="1" applyAlignment="1">
      <alignment horizontal="center" vertical="center"/>
    </xf>
    <xf numFmtId="164" fontId="7" fillId="0" borderId="21" xfId="1" applyNumberFormat="1" applyFont="1" applyFill="1" applyBorder="1" applyAlignment="1">
      <alignment vertical="center" shrinkToFit="1"/>
    </xf>
    <xf numFmtId="164" fontId="7" fillId="0" borderId="19" xfId="1" applyNumberFormat="1" applyFont="1" applyFill="1" applyBorder="1" applyAlignment="1">
      <alignment vertical="center" shrinkToFit="1"/>
    </xf>
    <xf numFmtId="0" fontId="3" fillId="0" borderId="17" xfId="0" applyFont="1" applyBorder="1" applyAlignment="1">
      <alignment horizontal="left" vertical="center"/>
    </xf>
    <xf numFmtId="0" fontId="3" fillId="0" borderId="24" xfId="0" applyFont="1" applyBorder="1" applyAlignment="1">
      <alignment vertical="center" wrapText="1"/>
    </xf>
    <xf numFmtId="164" fontId="7" fillId="0" borderId="20" xfId="1" applyNumberFormat="1" applyFont="1" applyFill="1" applyBorder="1" applyAlignment="1">
      <alignment vertical="center" shrinkToFit="1"/>
    </xf>
    <xf numFmtId="164" fontId="9" fillId="0" borderId="5" xfId="1" applyNumberFormat="1" applyFont="1" applyFill="1" applyBorder="1" applyAlignment="1">
      <alignment vertical="center" shrinkToFit="1"/>
    </xf>
    <xf numFmtId="164" fontId="7" fillId="0" borderId="5" xfId="1" applyNumberFormat="1" applyFont="1" applyFill="1" applyBorder="1" applyAlignment="1">
      <alignment vertical="center" shrinkToFit="1"/>
    </xf>
    <xf numFmtId="164" fontId="7" fillId="0" borderId="5" xfId="1" applyNumberFormat="1" applyFont="1" applyFill="1" applyBorder="1" applyAlignment="1">
      <alignment horizontal="center" vertical="center" shrinkToFit="1"/>
    </xf>
    <xf numFmtId="165" fontId="9" fillId="0" borderId="5" xfId="1" applyNumberFormat="1" applyFont="1" applyFill="1" applyBorder="1" applyAlignment="1">
      <alignment vertical="center" shrinkToFit="1"/>
    </xf>
    <xf numFmtId="0" fontId="9" fillId="0" borderId="5" xfId="1" applyNumberFormat="1" applyFont="1" applyFill="1" applyBorder="1" applyAlignment="1">
      <alignment horizontal="center" vertical="center" shrinkToFit="1"/>
    </xf>
    <xf numFmtId="164" fontId="9" fillId="0" borderId="10" xfId="1" applyNumberFormat="1" applyFont="1" applyFill="1" applyBorder="1" applyAlignment="1">
      <alignment vertical="center" shrinkToFit="1"/>
    </xf>
    <xf numFmtId="164" fontId="7" fillId="0" borderId="15" xfId="1" applyNumberFormat="1" applyFont="1" applyFill="1" applyBorder="1" applyAlignment="1">
      <alignment horizontal="center" vertical="center" shrinkToFit="1"/>
    </xf>
    <xf numFmtId="164" fontId="9" fillId="0" borderId="20" xfId="1" applyNumberFormat="1" applyFont="1" applyFill="1" applyBorder="1" applyAlignment="1">
      <alignment vertical="center" shrinkToFi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 indent="1"/>
    </xf>
    <xf numFmtId="164" fontId="9" fillId="0" borderId="31" xfId="1" applyNumberFormat="1" applyFont="1" applyFill="1" applyBorder="1" applyAlignment="1">
      <alignment vertical="center" shrinkToFit="1"/>
    </xf>
    <xf numFmtId="164" fontId="9" fillId="0" borderId="32" xfId="1" applyNumberFormat="1" applyFont="1" applyFill="1" applyBorder="1" applyAlignment="1">
      <alignment vertical="center" shrinkToFit="1"/>
    </xf>
    <xf numFmtId="164" fontId="9" fillId="0" borderId="30" xfId="1" applyNumberFormat="1" applyFont="1" applyFill="1" applyBorder="1" applyAlignment="1">
      <alignment vertical="center" shrinkToFit="1"/>
    </xf>
    <xf numFmtId="166" fontId="7" fillId="0" borderId="20" xfId="1" applyNumberFormat="1" applyFont="1" applyFill="1" applyBorder="1" applyAlignment="1">
      <alignment horizontal="right" vertical="center" shrinkToFit="1"/>
    </xf>
    <xf numFmtId="166" fontId="9" fillId="0" borderId="5" xfId="1" applyNumberFormat="1" applyFont="1" applyFill="1" applyBorder="1" applyAlignment="1">
      <alignment horizontal="right" vertical="center" shrinkToFit="1"/>
    </xf>
    <xf numFmtId="166" fontId="7" fillId="0" borderId="5" xfId="1" applyNumberFormat="1" applyFont="1" applyFill="1" applyBorder="1" applyAlignment="1">
      <alignment horizontal="right" vertical="center" shrinkToFit="1"/>
    </xf>
    <xf numFmtId="166" fontId="9" fillId="0" borderId="10" xfId="1" applyNumberFormat="1" applyFont="1" applyFill="1" applyBorder="1" applyAlignment="1">
      <alignment horizontal="right" vertical="center" shrinkToFit="1"/>
    </xf>
    <xf numFmtId="166" fontId="9" fillId="0" borderId="20" xfId="1" applyNumberFormat="1" applyFont="1" applyFill="1" applyBorder="1" applyAlignment="1">
      <alignment horizontal="right" vertical="center" shrinkToFit="1"/>
    </xf>
    <xf numFmtId="166" fontId="9" fillId="0" borderId="30" xfId="1" applyNumberFormat="1" applyFont="1" applyFill="1" applyBorder="1" applyAlignment="1">
      <alignment horizontal="right" vertical="center" shrinkToFit="1"/>
    </xf>
    <xf numFmtId="166" fontId="7" fillId="0" borderId="5" xfId="1" applyNumberFormat="1" applyFont="1" applyFill="1" applyBorder="1" applyAlignment="1">
      <alignment horizontal="center" vertical="center" shrinkToFit="1"/>
    </xf>
    <xf numFmtId="166" fontId="9" fillId="0" borderId="5" xfId="1" applyNumberFormat="1" applyFont="1" applyFill="1" applyBorder="1" applyAlignment="1">
      <alignment horizontal="center" vertical="center" shrinkToFit="1"/>
    </xf>
    <xf numFmtId="166" fontId="7" fillId="0" borderId="15" xfId="1" applyNumberFormat="1" applyFont="1" applyFill="1" applyBorder="1" applyAlignment="1">
      <alignment horizontal="center" vertical="center" shrinkToFit="1"/>
    </xf>
    <xf numFmtId="49" fontId="1" fillId="2" borderId="22" xfId="1" applyNumberFormat="1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wrapText="1"/>
    </xf>
    <xf numFmtId="49" fontId="7" fillId="2" borderId="22" xfId="1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8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3">
    <cellStyle name="Normalny" xfId="0" builtinId="0"/>
    <cellStyle name="Normalny 6 2" xfId="1"/>
    <cellStyle name="Normalny 9" xfId="2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0"/>
  <sheetViews>
    <sheetView tabSelected="1" workbookViewId="0">
      <selection activeCell="C14" sqref="C14"/>
    </sheetView>
  </sheetViews>
  <sheetFormatPr defaultRowHeight="15"/>
  <cols>
    <col min="1" max="1" width="6.85546875" style="37" customWidth="1"/>
    <col min="2" max="2" width="35.5703125" style="36" customWidth="1"/>
    <col min="3" max="3" width="15.85546875" style="36" customWidth="1"/>
    <col min="4" max="12" width="12.7109375" style="36" customWidth="1"/>
    <col min="13" max="13" width="9.140625" style="35"/>
  </cols>
  <sheetData>
    <row r="2" spans="1:13">
      <c r="B2" s="76" t="s">
        <v>193</v>
      </c>
      <c r="C2" s="77"/>
      <c r="D2" s="77"/>
      <c r="E2" s="77"/>
      <c r="F2" s="77"/>
      <c r="G2" s="77"/>
      <c r="H2" s="77"/>
      <c r="I2" s="77"/>
      <c r="J2" s="77"/>
      <c r="K2" s="77"/>
    </row>
    <row r="4" spans="1:13" s="37" customFormat="1">
      <c r="A4" s="68" t="s">
        <v>0</v>
      </c>
      <c r="B4" s="70" t="s">
        <v>1</v>
      </c>
      <c r="C4" s="71" t="s">
        <v>192</v>
      </c>
      <c r="D4" s="73" t="s">
        <v>191</v>
      </c>
      <c r="E4" s="74"/>
      <c r="F4" s="74"/>
      <c r="G4" s="74"/>
      <c r="H4" s="74"/>
      <c r="I4" s="74"/>
      <c r="J4" s="74"/>
      <c r="K4" s="74"/>
      <c r="L4" s="75"/>
      <c r="M4" s="36"/>
    </row>
    <row r="5" spans="1:13" s="37" customFormat="1">
      <c r="A5" s="69"/>
      <c r="B5" s="69"/>
      <c r="C5" s="72"/>
      <c r="D5" s="38">
        <v>2016</v>
      </c>
      <c r="E5" s="39">
        <f>+D5+1</f>
        <v>2017</v>
      </c>
      <c r="F5" s="39">
        <f t="shared" ref="F5:L5" si="0">+E5+1</f>
        <v>2018</v>
      </c>
      <c r="G5" s="39">
        <f t="shared" si="0"/>
        <v>2019</v>
      </c>
      <c r="H5" s="39">
        <f t="shared" si="0"/>
        <v>2020</v>
      </c>
      <c r="I5" s="39">
        <f t="shared" si="0"/>
        <v>2021</v>
      </c>
      <c r="J5" s="39">
        <f t="shared" si="0"/>
        <v>2022</v>
      </c>
      <c r="K5" s="39">
        <f t="shared" si="0"/>
        <v>2023</v>
      </c>
      <c r="L5" s="40">
        <f t="shared" si="0"/>
        <v>2024</v>
      </c>
      <c r="M5" s="36"/>
    </row>
    <row r="6" spans="1:13">
      <c r="A6" s="43">
        <v>1</v>
      </c>
      <c r="B6" s="44" t="s">
        <v>2</v>
      </c>
      <c r="C6" s="59">
        <f>C7+C14</f>
        <v>34105506.890000001</v>
      </c>
      <c r="D6" s="41">
        <f>64118952</f>
        <v>64118952</v>
      </c>
      <c r="E6" s="42">
        <f>65184159</f>
        <v>65184159</v>
      </c>
      <c r="F6" s="42">
        <f>68385942</f>
        <v>68385942</v>
      </c>
      <c r="G6" s="42">
        <f>67863508</f>
        <v>67863508</v>
      </c>
      <c r="H6" s="42">
        <f>60668706</f>
        <v>60668706</v>
      </c>
      <c r="I6" s="42">
        <f>59909293</f>
        <v>59909293</v>
      </c>
      <c r="J6" s="42">
        <f>60503261</f>
        <v>60503261</v>
      </c>
      <c r="K6" s="42">
        <f>61153169</f>
        <v>61153169</v>
      </c>
      <c r="L6" s="45">
        <f>61709076</f>
        <v>61709076</v>
      </c>
    </row>
    <row r="7" spans="1:13">
      <c r="A7" s="3" t="s">
        <v>3</v>
      </c>
      <c r="B7" s="4" t="s">
        <v>4</v>
      </c>
      <c r="C7" s="60">
        <v>32941691.710000001</v>
      </c>
      <c r="D7" s="21">
        <f>59505446</f>
        <v>59505446</v>
      </c>
      <c r="E7" s="22">
        <f>61605769</f>
        <v>61605769</v>
      </c>
      <c r="F7" s="22">
        <f>62275835</f>
        <v>62275835</v>
      </c>
      <c r="G7" s="22">
        <f>62357839</f>
        <v>62357839</v>
      </c>
      <c r="H7" s="22">
        <f>60668706</f>
        <v>60668706</v>
      </c>
      <c r="I7" s="22">
        <f>59909293</f>
        <v>59909293</v>
      </c>
      <c r="J7" s="22">
        <f>60503261</f>
        <v>60503261</v>
      </c>
      <c r="K7" s="22">
        <f>61153169</f>
        <v>61153169</v>
      </c>
      <c r="L7" s="46">
        <f>61709076</f>
        <v>61709076</v>
      </c>
    </row>
    <row r="8" spans="1:13" ht="24">
      <c r="A8" s="3" t="s">
        <v>5</v>
      </c>
      <c r="B8" s="5" t="s">
        <v>6</v>
      </c>
      <c r="C8" s="60">
        <v>3123139</v>
      </c>
      <c r="D8" s="21">
        <f>6718351</f>
        <v>6718351</v>
      </c>
      <c r="E8" s="22">
        <f>6995212</f>
        <v>6995212</v>
      </c>
      <c r="F8" s="22">
        <f>7016898</f>
        <v>7016898</v>
      </c>
      <c r="G8" s="22">
        <f>7050579</f>
        <v>7050579</v>
      </c>
      <c r="H8" s="22">
        <f>0</f>
        <v>0</v>
      </c>
      <c r="I8" s="22">
        <f>0</f>
        <v>0</v>
      </c>
      <c r="J8" s="22">
        <f>0</f>
        <v>0</v>
      </c>
      <c r="K8" s="22">
        <f>0</f>
        <v>0</v>
      </c>
      <c r="L8" s="46">
        <f>0</f>
        <v>0</v>
      </c>
    </row>
    <row r="9" spans="1:13" ht="24">
      <c r="A9" s="3" t="s">
        <v>7</v>
      </c>
      <c r="B9" s="5" t="s">
        <v>8</v>
      </c>
      <c r="C9" s="60">
        <v>61386.239999999998</v>
      </c>
      <c r="D9" s="21">
        <f>130000</f>
        <v>130000</v>
      </c>
      <c r="E9" s="22">
        <f>134823</f>
        <v>134823</v>
      </c>
      <c r="F9" s="22">
        <f>135241</f>
        <v>135241</v>
      </c>
      <c r="G9" s="22">
        <f>135890</f>
        <v>135890</v>
      </c>
      <c r="H9" s="22">
        <f>0</f>
        <v>0</v>
      </c>
      <c r="I9" s="22">
        <f>0</f>
        <v>0</v>
      </c>
      <c r="J9" s="22">
        <f>0</f>
        <v>0</v>
      </c>
      <c r="K9" s="22">
        <f>0</f>
        <v>0</v>
      </c>
      <c r="L9" s="46">
        <f>0</f>
        <v>0</v>
      </c>
    </row>
    <row r="10" spans="1:13">
      <c r="A10" s="3" t="s">
        <v>9</v>
      </c>
      <c r="B10" s="5" t="s">
        <v>10</v>
      </c>
      <c r="C10" s="60">
        <v>864565.34</v>
      </c>
      <c r="D10" s="21">
        <f>1311196</f>
        <v>1311196</v>
      </c>
      <c r="E10" s="22">
        <f>1359841</f>
        <v>1359841</v>
      </c>
      <c r="F10" s="22">
        <f>1364057</f>
        <v>1364057</v>
      </c>
      <c r="G10" s="22">
        <f>1370604</f>
        <v>1370604</v>
      </c>
      <c r="H10" s="22">
        <f>0</f>
        <v>0</v>
      </c>
      <c r="I10" s="22">
        <f>0</f>
        <v>0</v>
      </c>
      <c r="J10" s="22">
        <f>0</f>
        <v>0</v>
      </c>
      <c r="K10" s="22">
        <f>0</f>
        <v>0</v>
      </c>
      <c r="L10" s="46">
        <f>0</f>
        <v>0</v>
      </c>
    </row>
    <row r="11" spans="1:13">
      <c r="A11" s="3" t="s">
        <v>11</v>
      </c>
      <c r="B11" s="6" t="s">
        <v>12</v>
      </c>
      <c r="C11" s="60">
        <v>0</v>
      </c>
      <c r="D11" s="21">
        <f>0</f>
        <v>0</v>
      </c>
      <c r="E11" s="22">
        <f>0</f>
        <v>0</v>
      </c>
      <c r="F11" s="22">
        <f>0</f>
        <v>0</v>
      </c>
      <c r="G11" s="22">
        <f>0</f>
        <v>0</v>
      </c>
      <c r="H11" s="22">
        <f>0</f>
        <v>0</v>
      </c>
      <c r="I11" s="22">
        <f>0</f>
        <v>0</v>
      </c>
      <c r="J11" s="22">
        <f>0</f>
        <v>0</v>
      </c>
      <c r="K11" s="22">
        <f>0</f>
        <v>0</v>
      </c>
      <c r="L11" s="46">
        <f>0</f>
        <v>0</v>
      </c>
    </row>
    <row r="12" spans="1:13">
      <c r="A12" s="3" t="s">
        <v>13</v>
      </c>
      <c r="B12" s="5" t="s">
        <v>14</v>
      </c>
      <c r="C12" s="60">
        <v>18758802</v>
      </c>
      <c r="D12" s="21">
        <f>32075167</f>
        <v>32075167</v>
      </c>
      <c r="E12" s="22">
        <f>33840949</f>
        <v>33840949</v>
      </c>
      <c r="F12" s="22">
        <f>33945856</f>
        <v>33945856</v>
      </c>
      <c r="G12" s="22">
        <f>34003386</f>
        <v>34003386</v>
      </c>
      <c r="H12" s="22">
        <f>0</f>
        <v>0</v>
      </c>
      <c r="I12" s="22">
        <f>0</f>
        <v>0</v>
      </c>
      <c r="J12" s="22">
        <f>0</f>
        <v>0</v>
      </c>
      <c r="K12" s="22">
        <f>0</f>
        <v>0</v>
      </c>
      <c r="L12" s="46">
        <f>0</f>
        <v>0</v>
      </c>
    </row>
    <row r="13" spans="1:13" ht="24">
      <c r="A13" s="3" t="s">
        <v>15</v>
      </c>
      <c r="B13" s="5" t="s">
        <v>16</v>
      </c>
      <c r="C13" s="60">
        <v>6232086.0499999998</v>
      </c>
      <c r="D13" s="21">
        <f>12023444</f>
        <v>12023444</v>
      </c>
      <c r="E13" s="22">
        <f>12028353</f>
        <v>12028353</v>
      </c>
      <c r="F13" s="22">
        <f>12376620</f>
        <v>12376620</v>
      </c>
      <c r="G13" s="22">
        <f>12218730</f>
        <v>12218730</v>
      </c>
      <c r="H13" s="22">
        <f>0</f>
        <v>0</v>
      </c>
      <c r="I13" s="22">
        <f>0</f>
        <v>0</v>
      </c>
      <c r="J13" s="22">
        <f>0</f>
        <v>0</v>
      </c>
      <c r="K13" s="22">
        <f>0</f>
        <v>0</v>
      </c>
      <c r="L13" s="46">
        <f>0</f>
        <v>0</v>
      </c>
    </row>
    <row r="14" spans="1:13">
      <c r="A14" s="3" t="s">
        <v>17</v>
      </c>
      <c r="B14" s="4" t="s">
        <v>18</v>
      </c>
      <c r="C14" s="60">
        <v>1163815.18</v>
      </c>
      <c r="D14" s="21">
        <f>4613506</f>
        <v>4613506</v>
      </c>
      <c r="E14" s="22">
        <f>3578390</f>
        <v>3578390</v>
      </c>
      <c r="F14" s="22">
        <f>6110107</f>
        <v>6110107</v>
      </c>
      <c r="G14" s="22">
        <f>5505669</f>
        <v>5505669</v>
      </c>
      <c r="H14" s="22">
        <f>0</f>
        <v>0</v>
      </c>
      <c r="I14" s="22">
        <f>0</f>
        <v>0</v>
      </c>
      <c r="J14" s="22">
        <f>0</f>
        <v>0</v>
      </c>
      <c r="K14" s="22">
        <f>0</f>
        <v>0</v>
      </c>
      <c r="L14" s="46">
        <f>0</f>
        <v>0</v>
      </c>
    </row>
    <row r="15" spans="1:13">
      <c r="A15" s="3" t="s">
        <v>19</v>
      </c>
      <c r="B15" s="5" t="s">
        <v>20</v>
      </c>
      <c r="C15" s="60">
        <v>113.05</v>
      </c>
      <c r="D15" s="21">
        <f>35000</f>
        <v>35000</v>
      </c>
      <c r="E15" s="22">
        <f>0</f>
        <v>0</v>
      </c>
      <c r="F15" s="22">
        <f>0</f>
        <v>0</v>
      </c>
      <c r="G15" s="22">
        <f>0</f>
        <v>0</v>
      </c>
      <c r="H15" s="22">
        <f>0</f>
        <v>0</v>
      </c>
      <c r="I15" s="22">
        <f>0</f>
        <v>0</v>
      </c>
      <c r="J15" s="22">
        <f>0</f>
        <v>0</v>
      </c>
      <c r="K15" s="22">
        <f>0</f>
        <v>0</v>
      </c>
      <c r="L15" s="46">
        <f>0</f>
        <v>0</v>
      </c>
    </row>
    <row r="16" spans="1:13" ht="24">
      <c r="A16" s="3" t="s">
        <v>21</v>
      </c>
      <c r="B16" s="5" t="s">
        <v>22</v>
      </c>
      <c r="C16" s="60">
        <f>C14-C15</f>
        <v>1163702.1299999999</v>
      </c>
      <c r="D16" s="21">
        <f>4578506</f>
        <v>4578506</v>
      </c>
      <c r="E16" s="22">
        <f>3578390</f>
        <v>3578390</v>
      </c>
      <c r="F16" s="22">
        <f>6110107</f>
        <v>6110107</v>
      </c>
      <c r="G16" s="22">
        <f>5505669</f>
        <v>5505669</v>
      </c>
      <c r="H16" s="22">
        <f>0</f>
        <v>0</v>
      </c>
      <c r="I16" s="22">
        <f>0</f>
        <v>0</v>
      </c>
      <c r="J16" s="22">
        <f>0</f>
        <v>0</v>
      </c>
      <c r="K16" s="22">
        <f>0</f>
        <v>0</v>
      </c>
      <c r="L16" s="46">
        <f>0</f>
        <v>0</v>
      </c>
    </row>
    <row r="17" spans="1:12">
      <c r="A17" s="1">
        <v>2</v>
      </c>
      <c r="B17" s="2" t="s">
        <v>23</v>
      </c>
      <c r="C17" s="61">
        <v>31037988.129999999</v>
      </c>
      <c r="D17" s="19">
        <f>64987172</f>
        <v>64987172</v>
      </c>
      <c r="E17" s="20">
        <f>62943659</f>
        <v>62943659</v>
      </c>
      <c r="F17" s="20">
        <f>66660942</f>
        <v>66660942</v>
      </c>
      <c r="G17" s="20">
        <f>66138508</f>
        <v>66138508</v>
      </c>
      <c r="H17" s="20">
        <f>58808706</f>
        <v>58808706</v>
      </c>
      <c r="I17" s="20">
        <f>59396793</f>
        <v>59396793</v>
      </c>
      <c r="J17" s="20">
        <f>59990761</f>
        <v>59990761</v>
      </c>
      <c r="K17" s="20">
        <f>60590669</f>
        <v>60590669</v>
      </c>
      <c r="L17" s="47">
        <f>61196576</f>
        <v>61196576</v>
      </c>
    </row>
    <row r="18" spans="1:12">
      <c r="A18" s="3" t="s">
        <v>24</v>
      </c>
      <c r="B18" s="4" t="s">
        <v>25</v>
      </c>
      <c r="C18" s="60">
        <v>29779404.609999999</v>
      </c>
      <c r="D18" s="21">
        <f>57772585</f>
        <v>57772585</v>
      </c>
      <c r="E18" s="22">
        <f>57659408</f>
        <v>57659408</v>
      </c>
      <c r="F18" s="22">
        <f>58514541</f>
        <v>58514541</v>
      </c>
      <c r="G18" s="22">
        <f>58945173</f>
        <v>58945173</v>
      </c>
      <c r="H18" s="22">
        <f>58808706</f>
        <v>58808706</v>
      </c>
      <c r="I18" s="22">
        <f>59396793</f>
        <v>59396793</v>
      </c>
      <c r="J18" s="22">
        <f>59990761</f>
        <v>59990761</v>
      </c>
      <c r="K18" s="22">
        <f>60590669</f>
        <v>60590669</v>
      </c>
      <c r="L18" s="46">
        <f>61196576</f>
        <v>61196576</v>
      </c>
    </row>
    <row r="19" spans="1:12">
      <c r="A19" s="3" t="s">
        <v>26</v>
      </c>
      <c r="B19" s="5" t="s">
        <v>27</v>
      </c>
      <c r="C19" s="60">
        <v>0</v>
      </c>
      <c r="D19" s="21">
        <f>4534</f>
        <v>4534</v>
      </c>
      <c r="E19" s="22">
        <f>0</f>
        <v>0</v>
      </c>
      <c r="F19" s="22">
        <f>0</f>
        <v>0</v>
      </c>
      <c r="G19" s="22">
        <f>0</f>
        <v>0</v>
      </c>
      <c r="H19" s="22">
        <f>0</f>
        <v>0</v>
      </c>
      <c r="I19" s="22">
        <f>0</f>
        <v>0</v>
      </c>
      <c r="J19" s="22">
        <f>0</f>
        <v>0</v>
      </c>
      <c r="K19" s="22">
        <f>0</f>
        <v>0</v>
      </c>
      <c r="L19" s="46">
        <f>0</f>
        <v>0</v>
      </c>
    </row>
    <row r="20" spans="1:12" ht="36">
      <c r="A20" s="3" t="s">
        <v>28</v>
      </c>
      <c r="B20" s="6" t="s">
        <v>29</v>
      </c>
      <c r="C20" s="60">
        <v>0</v>
      </c>
      <c r="D20" s="21">
        <f>0</f>
        <v>0</v>
      </c>
      <c r="E20" s="22">
        <f>0</f>
        <v>0</v>
      </c>
      <c r="F20" s="22">
        <f>0</f>
        <v>0</v>
      </c>
      <c r="G20" s="22">
        <f>0</f>
        <v>0</v>
      </c>
      <c r="H20" s="22">
        <f>0</f>
        <v>0</v>
      </c>
      <c r="I20" s="22">
        <f>0</f>
        <v>0</v>
      </c>
      <c r="J20" s="22">
        <f>0</f>
        <v>0</v>
      </c>
      <c r="K20" s="22">
        <f>0</f>
        <v>0</v>
      </c>
      <c r="L20" s="46">
        <f>0</f>
        <v>0</v>
      </c>
    </row>
    <row r="21" spans="1:12" ht="87" customHeight="1">
      <c r="A21" s="3" t="s">
        <v>30</v>
      </c>
      <c r="B21" s="5" t="s">
        <v>31</v>
      </c>
      <c r="C21" s="60">
        <v>0</v>
      </c>
      <c r="D21" s="21">
        <f>0</f>
        <v>0</v>
      </c>
      <c r="E21" s="22">
        <f>0</f>
        <v>0</v>
      </c>
      <c r="F21" s="22">
        <f>0</f>
        <v>0</v>
      </c>
      <c r="G21" s="22">
        <f>0</f>
        <v>0</v>
      </c>
      <c r="H21" s="22">
        <f>0</f>
        <v>0</v>
      </c>
      <c r="I21" s="22">
        <f>0</f>
        <v>0</v>
      </c>
      <c r="J21" s="22">
        <f>0</f>
        <v>0</v>
      </c>
      <c r="K21" s="22">
        <f>0</f>
        <v>0</v>
      </c>
      <c r="L21" s="46">
        <f>0</f>
        <v>0</v>
      </c>
    </row>
    <row r="22" spans="1:12">
      <c r="A22" s="3" t="s">
        <v>32</v>
      </c>
      <c r="B22" s="5" t="s">
        <v>33</v>
      </c>
      <c r="C22" s="60">
        <v>136258.29</v>
      </c>
      <c r="D22" s="21">
        <f>456560</f>
        <v>456560</v>
      </c>
      <c r="E22" s="22">
        <f>384020</f>
        <v>384020</v>
      </c>
      <c r="F22" s="22">
        <f>294400</f>
        <v>294400</v>
      </c>
      <c r="G22" s="22">
        <f>225400</f>
        <v>225400</v>
      </c>
      <c r="H22" s="22">
        <f>156400</f>
        <v>156400</v>
      </c>
      <c r="I22" s="22">
        <f>82000</f>
        <v>82000</v>
      </c>
      <c r="J22" s="22">
        <f>61500</f>
        <v>61500</v>
      </c>
      <c r="K22" s="22">
        <f>41000</f>
        <v>41000</v>
      </c>
      <c r="L22" s="46">
        <f>20500</f>
        <v>20500</v>
      </c>
    </row>
    <row r="23" spans="1:12" ht="24">
      <c r="A23" s="3" t="s">
        <v>34</v>
      </c>
      <c r="B23" s="6" t="s">
        <v>35</v>
      </c>
      <c r="C23" s="60">
        <v>136258.29</v>
      </c>
      <c r="D23" s="21">
        <f>456560</f>
        <v>456560</v>
      </c>
      <c r="E23" s="22">
        <f>384020</f>
        <v>384020</v>
      </c>
      <c r="F23" s="22">
        <f>294400</f>
        <v>294400</v>
      </c>
      <c r="G23" s="22">
        <f>225400</f>
        <v>225400</v>
      </c>
      <c r="H23" s="22">
        <f>156400</f>
        <v>156400</v>
      </c>
      <c r="I23" s="22">
        <f>82000</f>
        <v>82000</v>
      </c>
      <c r="J23" s="22">
        <f>61500</f>
        <v>61500</v>
      </c>
      <c r="K23" s="22">
        <f>41000</f>
        <v>41000</v>
      </c>
      <c r="L23" s="46">
        <f>20500</f>
        <v>20500</v>
      </c>
    </row>
    <row r="24" spans="1:12" ht="120" customHeight="1">
      <c r="A24" s="3" t="s">
        <v>36</v>
      </c>
      <c r="B24" s="7" t="s">
        <v>37</v>
      </c>
      <c r="C24" s="60">
        <v>0</v>
      </c>
      <c r="D24" s="21">
        <f>0</f>
        <v>0</v>
      </c>
      <c r="E24" s="22">
        <f>0</f>
        <v>0</v>
      </c>
      <c r="F24" s="22">
        <f>0</f>
        <v>0</v>
      </c>
      <c r="G24" s="22">
        <f>0</f>
        <v>0</v>
      </c>
      <c r="H24" s="22">
        <f>0</f>
        <v>0</v>
      </c>
      <c r="I24" s="22">
        <f>0</f>
        <v>0</v>
      </c>
      <c r="J24" s="22">
        <f>0</f>
        <v>0</v>
      </c>
      <c r="K24" s="22">
        <f>0</f>
        <v>0</v>
      </c>
      <c r="L24" s="46">
        <f>0</f>
        <v>0</v>
      </c>
    </row>
    <row r="25" spans="1:12" ht="75" customHeight="1">
      <c r="A25" s="3" t="s">
        <v>38</v>
      </c>
      <c r="B25" s="7" t="s">
        <v>39</v>
      </c>
      <c r="C25" s="60">
        <v>0</v>
      </c>
      <c r="D25" s="21">
        <f>0</f>
        <v>0</v>
      </c>
      <c r="E25" s="22">
        <f>0</f>
        <v>0</v>
      </c>
      <c r="F25" s="22">
        <f>0</f>
        <v>0</v>
      </c>
      <c r="G25" s="22">
        <f>0</f>
        <v>0</v>
      </c>
      <c r="H25" s="22">
        <f>0</f>
        <v>0</v>
      </c>
      <c r="I25" s="22">
        <f>0</f>
        <v>0</v>
      </c>
      <c r="J25" s="22">
        <f>0</f>
        <v>0</v>
      </c>
      <c r="K25" s="22">
        <f>0</f>
        <v>0</v>
      </c>
      <c r="L25" s="46">
        <f>0</f>
        <v>0</v>
      </c>
    </row>
    <row r="26" spans="1:12">
      <c r="A26" s="3" t="s">
        <v>40</v>
      </c>
      <c r="B26" s="4" t="s">
        <v>41</v>
      </c>
      <c r="C26" s="60">
        <v>1258583.52</v>
      </c>
      <c r="D26" s="21">
        <f>7214587</f>
        <v>7214587</v>
      </c>
      <c r="E26" s="22">
        <f>5284251</f>
        <v>5284251</v>
      </c>
      <c r="F26" s="22">
        <f>8146401</f>
        <v>8146401</v>
      </c>
      <c r="G26" s="22">
        <f>7193335</f>
        <v>7193335</v>
      </c>
      <c r="H26" s="22">
        <f>0</f>
        <v>0</v>
      </c>
      <c r="I26" s="22">
        <f>0</f>
        <v>0</v>
      </c>
      <c r="J26" s="22">
        <f>0</f>
        <v>0</v>
      </c>
      <c r="K26" s="22">
        <f>0</f>
        <v>0</v>
      </c>
      <c r="L26" s="46">
        <f>0</f>
        <v>0</v>
      </c>
    </row>
    <row r="27" spans="1:12">
      <c r="A27" s="1">
        <v>3</v>
      </c>
      <c r="B27" s="2" t="s">
        <v>42</v>
      </c>
      <c r="C27" s="61">
        <v>3067158.68</v>
      </c>
      <c r="D27" s="19">
        <f>-868220</f>
        <v>-868220</v>
      </c>
      <c r="E27" s="20">
        <f>2240500</f>
        <v>2240500</v>
      </c>
      <c r="F27" s="20">
        <f>1725000</f>
        <v>1725000</v>
      </c>
      <c r="G27" s="20">
        <f>1725000</f>
        <v>1725000</v>
      </c>
      <c r="H27" s="20">
        <f>1860000</f>
        <v>1860000</v>
      </c>
      <c r="I27" s="20">
        <f>512500</f>
        <v>512500</v>
      </c>
      <c r="J27" s="20">
        <f>512500</f>
        <v>512500</v>
      </c>
      <c r="K27" s="20">
        <f>562500</f>
        <v>562500</v>
      </c>
      <c r="L27" s="47">
        <f>512500</f>
        <v>512500</v>
      </c>
    </row>
    <row r="28" spans="1:12">
      <c r="A28" s="1">
        <v>4</v>
      </c>
      <c r="B28" s="2" t="s">
        <v>43</v>
      </c>
      <c r="C28" s="61">
        <v>3027290.13</v>
      </c>
      <c r="D28" s="19">
        <f>2681720</f>
        <v>2681720</v>
      </c>
      <c r="E28" s="20">
        <f>0</f>
        <v>0</v>
      </c>
      <c r="F28" s="20">
        <f>0</f>
        <v>0</v>
      </c>
      <c r="G28" s="20">
        <f>0</f>
        <v>0</v>
      </c>
      <c r="H28" s="20">
        <f>0</f>
        <v>0</v>
      </c>
      <c r="I28" s="20">
        <f>0</f>
        <v>0</v>
      </c>
      <c r="J28" s="20">
        <f>0</f>
        <v>0</v>
      </c>
      <c r="K28" s="20">
        <f>0</f>
        <v>0</v>
      </c>
      <c r="L28" s="47">
        <f>0</f>
        <v>0</v>
      </c>
    </row>
    <row r="29" spans="1:12">
      <c r="A29" s="3" t="s">
        <v>44</v>
      </c>
      <c r="B29" s="4" t="s">
        <v>45</v>
      </c>
      <c r="C29" s="60">
        <v>0</v>
      </c>
      <c r="D29" s="21">
        <f>0</f>
        <v>0</v>
      </c>
      <c r="E29" s="22">
        <f>0</f>
        <v>0</v>
      </c>
      <c r="F29" s="22">
        <f>0</f>
        <v>0</v>
      </c>
      <c r="G29" s="22">
        <f>0</f>
        <v>0</v>
      </c>
      <c r="H29" s="22">
        <f>0</f>
        <v>0</v>
      </c>
      <c r="I29" s="22">
        <f>0</f>
        <v>0</v>
      </c>
      <c r="J29" s="22">
        <f>0</f>
        <v>0</v>
      </c>
      <c r="K29" s="22">
        <f>0</f>
        <v>0</v>
      </c>
      <c r="L29" s="46">
        <f>0</f>
        <v>0</v>
      </c>
    </row>
    <row r="30" spans="1:12">
      <c r="A30" s="3" t="s">
        <v>46</v>
      </c>
      <c r="B30" s="5" t="s">
        <v>47</v>
      </c>
      <c r="C30" s="60">
        <v>0</v>
      </c>
      <c r="D30" s="21">
        <f>0</f>
        <v>0</v>
      </c>
      <c r="E30" s="22">
        <f>0</f>
        <v>0</v>
      </c>
      <c r="F30" s="22">
        <f>0</f>
        <v>0</v>
      </c>
      <c r="G30" s="22">
        <f>0</f>
        <v>0</v>
      </c>
      <c r="H30" s="22">
        <f>0</f>
        <v>0</v>
      </c>
      <c r="I30" s="22">
        <f>0</f>
        <v>0</v>
      </c>
      <c r="J30" s="22">
        <f>0</f>
        <v>0</v>
      </c>
      <c r="K30" s="22">
        <f>0</f>
        <v>0</v>
      </c>
      <c r="L30" s="46">
        <f>0</f>
        <v>0</v>
      </c>
    </row>
    <row r="31" spans="1:12" ht="24">
      <c r="A31" s="3" t="s">
        <v>48</v>
      </c>
      <c r="B31" s="4" t="s">
        <v>49</v>
      </c>
      <c r="C31" s="60">
        <v>0</v>
      </c>
      <c r="D31" s="21">
        <f>2681720</f>
        <v>2681720</v>
      </c>
      <c r="E31" s="22">
        <f>0</f>
        <v>0</v>
      </c>
      <c r="F31" s="22">
        <f>0</f>
        <v>0</v>
      </c>
      <c r="G31" s="22">
        <f>0</f>
        <v>0</v>
      </c>
      <c r="H31" s="22">
        <f>0</f>
        <v>0</v>
      </c>
      <c r="I31" s="22">
        <f>0</f>
        <v>0</v>
      </c>
      <c r="J31" s="22">
        <f>0</f>
        <v>0</v>
      </c>
      <c r="K31" s="22">
        <f>0</f>
        <v>0</v>
      </c>
      <c r="L31" s="46">
        <f>0</f>
        <v>0</v>
      </c>
    </row>
    <row r="32" spans="1:12">
      <c r="A32" s="3" t="s">
        <v>50</v>
      </c>
      <c r="B32" s="5" t="s">
        <v>47</v>
      </c>
      <c r="C32" s="60">
        <v>0</v>
      </c>
      <c r="D32" s="21">
        <f>868220</f>
        <v>868220</v>
      </c>
      <c r="E32" s="22">
        <f>0</f>
        <v>0</v>
      </c>
      <c r="F32" s="22">
        <f>0</f>
        <v>0</v>
      </c>
      <c r="G32" s="22">
        <f>0</f>
        <v>0</v>
      </c>
      <c r="H32" s="22">
        <f>0</f>
        <v>0</v>
      </c>
      <c r="I32" s="22">
        <f>0</f>
        <v>0</v>
      </c>
      <c r="J32" s="22">
        <f>0</f>
        <v>0</v>
      </c>
      <c r="K32" s="22">
        <f>0</f>
        <v>0</v>
      </c>
      <c r="L32" s="46">
        <f>0</f>
        <v>0</v>
      </c>
    </row>
    <row r="33" spans="1:12" ht="24">
      <c r="A33" s="3" t="s">
        <v>51</v>
      </c>
      <c r="B33" s="4" t="s">
        <v>52</v>
      </c>
      <c r="C33" s="60">
        <v>0</v>
      </c>
      <c r="D33" s="21">
        <f>0</f>
        <v>0</v>
      </c>
      <c r="E33" s="22">
        <f>0</f>
        <v>0</v>
      </c>
      <c r="F33" s="22">
        <f>0</f>
        <v>0</v>
      </c>
      <c r="G33" s="22">
        <f>0</f>
        <v>0</v>
      </c>
      <c r="H33" s="22">
        <f>0</f>
        <v>0</v>
      </c>
      <c r="I33" s="22">
        <f>0</f>
        <v>0</v>
      </c>
      <c r="J33" s="22">
        <f>0</f>
        <v>0</v>
      </c>
      <c r="K33" s="22">
        <f>0</f>
        <v>0</v>
      </c>
      <c r="L33" s="46">
        <f>0</f>
        <v>0</v>
      </c>
    </row>
    <row r="34" spans="1:12">
      <c r="A34" s="3" t="s">
        <v>53</v>
      </c>
      <c r="B34" s="5" t="s">
        <v>47</v>
      </c>
      <c r="C34" s="60">
        <v>0</v>
      </c>
      <c r="D34" s="21">
        <f>0</f>
        <v>0</v>
      </c>
      <c r="E34" s="22">
        <f>0</f>
        <v>0</v>
      </c>
      <c r="F34" s="22">
        <f>0</f>
        <v>0</v>
      </c>
      <c r="G34" s="22">
        <f>0</f>
        <v>0</v>
      </c>
      <c r="H34" s="22">
        <f>0</f>
        <v>0</v>
      </c>
      <c r="I34" s="22">
        <f>0</f>
        <v>0</v>
      </c>
      <c r="J34" s="22">
        <f>0</f>
        <v>0</v>
      </c>
      <c r="K34" s="22">
        <f>0</f>
        <v>0</v>
      </c>
      <c r="L34" s="46">
        <f>0</f>
        <v>0</v>
      </c>
    </row>
    <row r="35" spans="1:12" ht="24">
      <c r="A35" s="3" t="s">
        <v>54</v>
      </c>
      <c r="B35" s="4" t="s">
        <v>55</v>
      </c>
      <c r="C35" s="60">
        <v>0</v>
      </c>
      <c r="D35" s="21">
        <f>0</f>
        <v>0</v>
      </c>
      <c r="E35" s="22">
        <f>0</f>
        <v>0</v>
      </c>
      <c r="F35" s="22">
        <f>0</f>
        <v>0</v>
      </c>
      <c r="G35" s="22">
        <f>0</f>
        <v>0</v>
      </c>
      <c r="H35" s="22">
        <f>0</f>
        <v>0</v>
      </c>
      <c r="I35" s="22">
        <f>0</f>
        <v>0</v>
      </c>
      <c r="J35" s="22">
        <f>0</f>
        <v>0</v>
      </c>
      <c r="K35" s="22">
        <f>0</f>
        <v>0</v>
      </c>
      <c r="L35" s="46">
        <f>0</f>
        <v>0</v>
      </c>
    </row>
    <row r="36" spans="1:12">
      <c r="A36" s="3" t="s">
        <v>56</v>
      </c>
      <c r="B36" s="5" t="s">
        <v>47</v>
      </c>
      <c r="C36" s="60">
        <v>0</v>
      </c>
      <c r="D36" s="21">
        <f>0</f>
        <v>0</v>
      </c>
      <c r="E36" s="22">
        <f>0</f>
        <v>0</v>
      </c>
      <c r="F36" s="22">
        <f>0</f>
        <v>0</v>
      </c>
      <c r="G36" s="22">
        <f>0</f>
        <v>0</v>
      </c>
      <c r="H36" s="22">
        <f>0</f>
        <v>0</v>
      </c>
      <c r="I36" s="22">
        <f>0</f>
        <v>0</v>
      </c>
      <c r="J36" s="22">
        <f>0</f>
        <v>0</v>
      </c>
      <c r="K36" s="22">
        <f>0</f>
        <v>0</v>
      </c>
      <c r="L36" s="46">
        <f>0</f>
        <v>0</v>
      </c>
    </row>
    <row r="37" spans="1:12">
      <c r="A37" s="1">
        <v>5</v>
      </c>
      <c r="B37" s="2" t="s">
        <v>57</v>
      </c>
      <c r="C37" s="61">
        <v>903000</v>
      </c>
      <c r="D37" s="19">
        <f>1813500</f>
        <v>1813500</v>
      </c>
      <c r="E37" s="20">
        <f>2240500</f>
        <v>2240500</v>
      </c>
      <c r="F37" s="20">
        <f>1725000</f>
        <v>1725000</v>
      </c>
      <c r="G37" s="20">
        <f>1725000</f>
        <v>1725000</v>
      </c>
      <c r="H37" s="20">
        <f>1860000</f>
        <v>1860000</v>
      </c>
      <c r="I37" s="20">
        <f t="shared" ref="I37:L38" si="1">512500</f>
        <v>512500</v>
      </c>
      <c r="J37" s="20">
        <f t="shared" si="1"/>
        <v>512500</v>
      </c>
      <c r="K37" s="20">
        <f t="shared" si="1"/>
        <v>512500</v>
      </c>
      <c r="L37" s="47">
        <f t="shared" si="1"/>
        <v>512500</v>
      </c>
    </row>
    <row r="38" spans="1:12" ht="24">
      <c r="A38" s="3" t="s">
        <v>58</v>
      </c>
      <c r="B38" s="4" t="s">
        <v>59</v>
      </c>
      <c r="C38" s="60">
        <v>903000</v>
      </c>
      <c r="D38" s="21">
        <f>1813500</f>
        <v>1813500</v>
      </c>
      <c r="E38" s="22">
        <f>2240500</f>
        <v>2240500</v>
      </c>
      <c r="F38" s="22">
        <f>1725000</f>
        <v>1725000</v>
      </c>
      <c r="G38" s="22">
        <f>1725000</f>
        <v>1725000</v>
      </c>
      <c r="H38" s="22">
        <f>1860000</f>
        <v>1860000</v>
      </c>
      <c r="I38" s="22">
        <f t="shared" si="1"/>
        <v>512500</v>
      </c>
      <c r="J38" s="22">
        <f t="shared" si="1"/>
        <v>512500</v>
      </c>
      <c r="K38" s="22">
        <f t="shared" si="1"/>
        <v>512500</v>
      </c>
      <c r="L38" s="46">
        <f t="shared" si="1"/>
        <v>512500</v>
      </c>
    </row>
    <row r="39" spans="1:12" ht="48">
      <c r="A39" s="3" t="s">
        <v>60</v>
      </c>
      <c r="B39" s="5" t="s">
        <v>61</v>
      </c>
      <c r="C39" s="60">
        <v>0</v>
      </c>
      <c r="D39" s="21">
        <f>0</f>
        <v>0</v>
      </c>
      <c r="E39" s="22">
        <f>0</f>
        <v>0</v>
      </c>
      <c r="F39" s="22">
        <f>0</f>
        <v>0</v>
      </c>
      <c r="G39" s="22">
        <f>0</f>
        <v>0</v>
      </c>
      <c r="H39" s="22">
        <f>0</f>
        <v>0</v>
      </c>
      <c r="I39" s="22">
        <f>0</f>
        <v>0</v>
      </c>
      <c r="J39" s="22">
        <f>0</f>
        <v>0</v>
      </c>
      <c r="K39" s="22">
        <f>0</f>
        <v>0</v>
      </c>
      <c r="L39" s="46">
        <f>0</f>
        <v>0</v>
      </c>
    </row>
    <row r="40" spans="1:12" ht="36">
      <c r="A40" s="3" t="s">
        <v>62</v>
      </c>
      <c r="B40" s="6" t="s">
        <v>63</v>
      </c>
      <c r="C40" s="60">
        <v>0</v>
      </c>
      <c r="D40" s="21">
        <f>0</f>
        <v>0</v>
      </c>
      <c r="E40" s="22">
        <f>0</f>
        <v>0</v>
      </c>
      <c r="F40" s="22">
        <f>0</f>
        <v>0</v>
      </c>
      <c r="G40" s="22">
        <f>0</f>
        <v>0</v>
      </c>
      <c r="H40" s="22">
        <f>0</f>
        <v>0</v>
      </c>
      <c r="I40" s="22">
        <f>0</f>
        <v>0</v>
      </c>
      <c r="J40" s="22">
        <f>0</f>
        <v>0</v>
      </c>
      <c r="K40" s="22">
        <f>0</f>
        <v>0</v>
      </c>
      <c r="L40" s="46">
        <f>0</f>
        <v>0</v>
      </c>
    </row>
    <row r="41" spans="1:12" ht="36">
      <c r="A41" s="3" t="s">
        <v>64</v>
      </c>
      <c r="B41" s="6" t="s">
        <v>65</v>
      </c>
      <c r="C41" s="60">
        <v>0</v>
      </c>
      <c r="D41" s="21">
        <f>0</f>
        <v>0</v>
      </c>
      <c r="E41" s="22">
        <f>0</f>
        <v>0</v>
      </c>
      <c r="F41" s="22">
        <f>0</f>
        <v>0</v>
      </c>
      <c r="G41" s="22">
        <f>0</f>
        <v>0</v>
      </c>
      <c r="H41" s="22">
        <f>0</f>
        <v>0</v>
      </c>
      <c r="I41" s="22">
        <f>0</f>
        <v>0</v>
      </c>
      <c r="J41" s="22">
        <f>0</f>
        <v>0</v>
      </c>
      <c r="K41" s="22">
        <f>0</f>
        <v>0</v>
      </c>
      <c r="L41" s="46">
        <f>0</f>
        <v>0</v>
      </c>
    </row>
    <row r="42" spans="1:12" ht="36">
      <c r="A42" s="3" t="s">
        <v>66</v>
      </c>
      <c r="B42" s="6" t="s">
        <v>67</v>
      </c>
      <c r="C42" s="60">
        <v>0</v>
      </c>
      <c r="D42" s="21">
        <f>0</f>
        <v>0</v>
      </c>
      <c r="E42" s="22">
        <f>0</f>
        <v>0</v>
      </c>
      <c r="F42" s="22">
        <f>0</f>
        <v>0</v>
      </c>
      <c r="G42" s="22">
        <f>0</f>
        <v>0</v>
      </c>
      <c r="H42" s="22">
        <f>0</f>
        <v>0</v>
      </c>
      <c r="I42" s="22">
        <f>0</f>
        <v>0</v>
      </c>
      <c r="J42" s="22">
        <f>0</f>
        <v>0</v>
      </c>
      <c r="K42" s="22">
        <f>0</f>
        <v>0</v>
      </c>
      <c r="L42" s="46">
        <f>0</f>
        <v>0</v>
      </c>
    </row>
    <row r="43" spans="1:12">
      <c r="A43" s="3" t="s">
        <v>68</v>
      </c>
      <c r="B43" s="4" t="s">
        <v>69</v>
      </c>
      <c r="C43" s="60">
        <v>0</v>
      </c>
      <c r="D43" s="21">
        <f>0</f>
        <v>0</v>
      </c>
      <c r="E43" s="22">
        <f>0</f>
        <v>0</v>
      </c>
      <c r="F43" s="22">
        <f>0</f>
        <v>0</v>
      </c>
      <c r="G43" s="22">
        <f>0</f>
        <v>0</v>
      </c>
      <c r="H43" s="22">
        <f>0</f>
        <v>0</v>
      </c>
      <c r="I43" s="22">
        <f>0</f>
        <v>0</v>
      </c>
      <c r="J43" s="22">
        <f>0</f>
        <v>0</v>
      </c>
      <c r="K43" s="22">
        <f>0</f>
        <v>0</v>
      </c>
      <c r="L43" s="46">
        <f>0</f>
        <v>0</v>
      </c>
    </row>
    <row r="44" spans="1:12">
      <c r="A44" s="1">
        <v>6</v>
      </c>
      <c r="B44" s="2" t="s">
        <v>70</v>
      </c>
      <c r="C44" s="61">
        <v>10511000</v>
      </c>
      <c r="D44" s="19">
        <f>9600500</f>
        <v>9600500</v>
      </c>
      <c r="E44" s="20">
        <f>7360000</f>
        <v>7360000</v>
      </c>
      <c r="F44" s="20">
        <f>5635000</f>
        <v>5635000</v>
      </c>
      <c r="G44" s="20">
        <f>3910000</f>
        <v>3910000</v>
      </c>
      <c r="H44" s="20">
        <f>2050000</f>
        <v>2050000</v>
      </c>
      <c r="I44" s="20">
        <f>1537500</f>
        <v>1537500</v>
      </c>
      <c r="J44" s="20">
        <f>1025000</f>
        <v>1025000</v>
      </c>
      <c r="K44" s="20">
        <f>512500</f>
        <v>512500</v>
      </c>
      <c r="L44" s="47">
        <f>0</f>
        <v>0</v>
      </c>
    </row>
    <row r="45" spans="1:12" ht="60">
      <c r="A45" s="1">
        <v>7</v>
      </c>
      <c r="B45" s="2" t="s">
        <v>71</v>
      </c>
      <c r="C45" s="61">
        <v>220120.34</v>
      </c>
      <c r="D45" s="19">
        <f>333843</f>
        <v>333843</v>
      </c>
      <c r="E45" s="20">
        <f>0</f>
        <v>0</v>
      </c>
      <c r="F45" s="20">
        <f>0</f>
        <v>0</v>
      </c>
      <c r="G45" s="20">
        <f>0</f>
        <v>0</v>
      </c>
      <c r="H45" s="20">
        <f>0</f>
        <v>0</v>
      </c>
      <c r="I45" s="20">
        <f>0</f>
        <v>0</v>
      </c>
      <c r="J45" s="20">
        <f>0</f>
        <v>0</v>
      </c>
      <c r="K45" s="20">
        <f>0</f>
        <v>0</v>
      </c>
      <c r="L45" s="47">
        <f>0</f>
        <v>0</v>
      </c>
    </row>
    <row r="46" spans="1:12" ht="24">
      <c r="A46" s="1">
        <v>8</v>
      </c>
      <c r="B46" s="2" t="s">
        <v>72</v>
      </c>
      <c r="C46" s="65" t="s">
        <v>73</v>
      </c>
      <c r="D46" s="23" t="s">
        <v>73</v>
      </c>
      <c r="E46" s="24" t="s">
        <v>73</v>
      </c>
      <c r="F46" s="24" t="s">
        <v>73</v>
      </c>
      <c r="G46" s="24" t="s">
        <v>73</v>
      </c>
      <c r="H46" s="24" t="s">
        <v>73</v>
      </c>
      <c r="I46" s="24" t="s">
        <v>73</v>
      </c>
      <c r="J46" s="24" t="s">
        <v>73</v>
      </c>
      <c r="K46" s="24" t="s">
        <v>73</v>
      </c>
      <c r="L46" s="48" t="s">
        <v>73</v>
      </c>
    </row>
    <row r="47" spans="1:12" ht="24">
      <c r="A47" s="3" t="s">
        <v>74</v>
      </c>
      <c r="B47" s="4" t="s">
        <v>75</v>
      </c>
      <c r="C47" s="60">
        <f>C7-C18</f>
        <v>3162287.1000000015</v>
      </c>
      <c r="D47" s="21">
        <f>1732861</f>
        <v>1732861</v>
      </c>
      <c r="E47" s="22">
        <f>3946361</f>
        <v>3946361</v>
      </c>
      <c r="F47" s="22">
        <f>3761294</f>
        <v>3761294</v>
      </c>
      <c r="G47" s="22">
        <f>3412666</f>
        <v>3412666</v>
      </c>
      <c r="H47" s="22">
        <f>1860000</f>
        <v>1860000</v>
      </c>
      <c r="I47" s="22">
        <f>512500</f>
        <v>512500</v>
      </c>
      <c r="J47" s="22">
        <f>512500</f>
        <v>512500</v>
      </c>
      <c r="K47" s="22">
        <f>562500</f>
        <v>562500</v>
      </c>
      <c r="L47" s="46">
        <f>512500</f>
        <v>512500</v>
      </c>
    </row>
    <row r="48" spans="1:12" ht="38.25" customHeight="1">
      <c r="A48" s="3" t="s">
        <v>76</v>
      </c>
      <c r="B48" s="4" t="s">
        <v>77</v>
      </c>
      <c r="C48" s="60">
        <f>C47+C31</f>
        <v>3162287.1000000015</v>
      </c>
      <c r="D48" s="21">
        <f>4414581</f>
        <v>4414581</v>
      </c>
      <c r="E48" s="22">
        <f>3946361</f>
        <v>3946361</v>
      </c>
      <c r="F48" s="22">
        <f>3761294</f>
        <v>3761294</v>
      </c>
      <c r="G48" s="22">
        <f>3412666</f>
        <v>3412666</v>
      </c>
      <c r="H48" s="22">
        <f>1860000</f>
        <v>1860000</v>
      </c>
      <c r="I48" s="22">
        <f>512500</f>
        <v>512500</v>
      </c>
      <c r="J48" s="22">
        <f>512500</f>
        <v>512500</v>
      </c>
      <c r="K48" s="22">
        <f>562500</f>
        <v>562500</v>
      </c>
      <c r="L48" s="46">
        <f>512500</f>
        <v>512500</v>
      </c>
    </row>
    <row r="49" spans="1:12">
      <c r="A49" s="1">
        <v>9</v>
      </c>
      <c r="B49" s="2" t="s">
        <v>78</v>
      </c>
      <c r="C49" s="65" t="s">
        <v>73</v>
      </c>
      <c r="D49" s="23" t="s">
        <v>73</v>
      </c>
      <c r="E49" s="24" t="s">
        <v>73</v>
      </c>
      <c r="F49" s="24" t="s">
        <v>73</v>
      </c>
      <c r="G49" s="24" t="s">
        <v>73</v>
      </c>
      <c r="H49" s="24" t="s">
        <v>73</v>
      </c>
      <c r="I49" s="24" t="s">
        <v>73</v>
      </c>
      <c r="J49" s="24" t="s">
        <v>73</v>
      </c>
      <c r="K49" s="24" t="s">
        <v>73</v>
      </c>
      <c r="L49" s="48" t="s">
        <v>73</v>
      </c>
    </row>
    <row r="50" spans="1:12" ht="95.25" customHeight="1">
      <c r="A50" s="3" t="s">
        <v>79</v>
      </c>
      <c r="B50" s="4" t="s">
        <v>80</v>
      </c>
      <c r="C50" s="66" t="s">
        <v>73</v>
      </c>
      <c r="D50" s="25">
        <f>0.0355</f>
        <v>3.5499999999999997E-2</v>
      </c>
      <c r="E50" s="26">
        <f>0.0403</f>
        <v>4.0300000000000002E-2</v>
      </c>
      <c r="F50" s="26">
        <f>0.0295</f>
        <v>2.9499999999999998E-2</v>
      </c>
      <c r="G50" s="26">
        <f>0.0287</f>
        <v>2.87E-2</v>
      </c>
      <c r="H50" s="26">
        <f>0.0332</f>
        <v>3.32E-2</v>
      </c>
      <c r="I50" s="26">
        <f>0.0099</f>
        <v>9.9000000000000008E-3</v>
      </c>
      <c r="J50" s="26">
        <f>0.0095</f>
        <v>9.4999999999999998E-3</v>
      </c>
      <c r="K50" s="26">
        <f>0.0091</f>
        <v>9.1000000000000004E-3</v>
      </c>
      <c r="L50" s="49">
        <f>0.0086</f>
        <v>8.6E-3</v>
      </c>
    </row>
    <row r="51" spans="1:12" ht="96.75" customHeight="1">
      <c r="A51" s="3" t="s">
        <v>81</v>
      </c>
      <c r="B51" s="4" t="s">
        <v>82</v>
      </c>
      <c r="C51" s="66" t="s">
        <v>73</v>
      </c>
      <c r="D51" s="25">
        <f>0.0355</f>
        <v>3.5499999999999997E-2</v>
      </c>
      <c r="E51" s="26">
        <f>0.0403</f>
        <v>4.0300000000000002E-2</v>
      </c>
      <c r="F51" s="26">
        <f>0.0295</f>
        <v>2.9499999999999998E-2</v>
      </c>
      <c r="G51" s="26">
        <f>0.0287</f>
        <v>2.87E-2</v>
      </c>
      <c r="H51" s="26">
        <f>0.0332</f>
        <v>3.32E-2</v>
      </c>
      <c r="I51" s="26">
        <f>0.0099</f>
        <v>9.9000000000000008E-3</v>
      </c>
      <c r="J51" s="26">
        <f>0.0095</f>
        <v>9.4999999999999998E-3</v>
      </c>
      <c r="K51" s="26">
        <f>0.0091</f>
        <v>9.1000000000000004E-3</v>
      </c>
      <c r="L51" s="49">
        <f>0.0086</f>
        <v>8.6E-3</v>
      </c>
    </row>
    <row r="52" spans="1:12" ht="60">
      <c r="A52" s="3" t="s">
        <v>83</v>
      </c>
      <c r="B52" s="4" t="s">
        <v>84</v>
      </c>
      <c r="C52" s="60">
        <v>0</v>
      </c>
      <c r="D52" s="21">
        <f>0</f>
        <v>0</v>
      </c>
      <c r="E52" s="22">
        <f>0</f>
        <v>0</v>
      </c>
      <c r="F52" s="22">
        <f>0</f>
        <v>0</v>
      </c>
      <c r="G52" s="22">
        <f>0</f>
        <v>0</v>
      </c>
      <c r="H52" s="22">
        <f>0</f>
        <v>0</v>
      </c>
      <c r="I52" s="22">
        <f>0</f>
        <v>0</v>
      </c>
      <c r="J52" s="22">
        <f>0</f>
        <v>0</v>
      </c>
      <c r="K52" s="22">
        <f>0</f>
        <v>0</v>
      </c>
      <c r="L52" s="46">
        <f>0</f>
        <v>0</v>
      </c>
    </row>
    <row r="53" spans="1:12" ht="97.5" customHeight="1">
      <c r="A53" s="3" t="s">
        <v>85</v>
      </c>
      <c r="B53" s="4" t="s">
        <v>86</v>
      </c>
      <c r="C53" s="66" t="s">
        <v>73</v>
      </c>
      <c r="D53" s="25">
        <f>0.0355</f>
        <v>3.5499999999999997E-2</v>
      </c>
      <c r="E53" s="26">
        <f>0.0403</f>
        <v>4.0300000000000002E-2</v>
      </c>
      <c r="F53" s="26">
        <f>0.0295</f>
        <v>2.9499999999999998E-2</v>
      </c>
      <c r="G53" s="26">
        <f>0.0287</f>
        <v>2.87E-2</v>
      </c>
      <c r="H53" s="26">
        <f>0.0332</f>
        <v>3.32E-2</v>
      </c>
      <c r="I53" s="26">
        <f>0.0099</f>
        <v>9.9000000000000008E-3</v>
      </c>
      <c r="J53" s="26">
        <f>0.0095</f>
        <v>9.4999999999999998E-3</v>
      </c>
      <c r="K53" s="26">
        <f>0.0091</f>
        <v>9.1000000000000004E-3</v>
      </c>
      <c r="L53" s="49">
        <f>0.0086</f>
        <v>8.6E-3</v>
      </c>
    </row>
    <row r="54" spans="1:12" ht="66.75" customHeight="1">
      <c r="A54" s="8" t="s">
        <v>87</v>
      </c>
      <c r="B54" s="9" t="s">
        <v>88</v>
      </c>
      <c r="C54" s="66" t="s">
        <v>73</v>
      </c>
      <c r="D54" s="25">
        <f>0.0276</f>
        <v>2.76E-2</v>
      </c>
      <c r="E54" s="26">
        <f>0.0605</f>
        <v>6.0499999999999998E-2</v>
      </c>
      <c r="F54" s="26">
        <f>0.055</f>
        <v>5.5E-2</v>
      </c>
      <c r="G54" s="26">
        <f>0.0503</f>
        <v>5.0299999999999997E-2</v>
      </c>
      <c r="H54" s="26">
        <f>0.0307</f>
        <v>3.0700000000000002E-2</v>
      </c>
      <c r="I54" s="26">
        <f>0.0086</f>
        <v>8.6E-3</v>
      </c>
      <c r="J54" s="26">
        <f>0.0085</f>
        <v>8.5000000000000006E-3</v>
      </c>
      <c r="K54" s="26">
        <f>0.0092</f>
        <v>9.1999999999999998E-3</v>
      </c>
      <c r="L54" s="49">
        <f>0.0083</f>
        <v>8.3000000000000001E-3</v>
      </c>
    </row>
    <row r="55" spans="1:12" ht="77.25" customHeight="1">
      <c r="A55" s="3" t="s">
        <v>89</v>
      </c>
      <c r="B55" s="4" t="s">
        <v>90</v>
      </c>
      <c r="C55" s="65" t="s">
        <v>73</v>
      </c>
      <c r="D55" s="25">
        <f>0.0477</f>
        <v>4.7699999999999999E-2</v>
      </c>
      <c r="E55" s="26">
        <f>0.0407</f>
        <v>4.07E-2</v>
      </c>
      <c r="F55" s="26">
        <f>0.0444</f>
        <v>4.4400000000000002E-2</v>
      </c>
      <c r="G55" s="26">
        <f>0.0477</f>
        <v>4.7699999999999999E-2</v>
      </c>
      <c r="H55" s="26">
        <f>0.0553</f>
        <v>5.5300000000000002E-2</v>
      </c>
      <c r="I55" s="26">
        <f>0.0453</f>
        <v>4.53E-2</v>
      </c>
      <c r="J55" s="26">
        <f>0.0299</f>
        <v>2.9899999999999999E-2</v>
      </c>
      <c r="K55" s="26">
        <f>0.0159</f>
        <v>1.5900000000000001E-2</v>
      </c>
      <c r="L55" s="49">
        <f>0.0088</f>
        <v>8.8000000000000005E-3</v>
      </c>
    </row>
    <row r="56" spans="1:12" ht="88.5" customHeight="1">
      <c r="A56" s="3" t="s">
        <v>91</v>
      </c>
      <c r="B56" s="5" t="s">
        <v>92</v>
      </c>
      <c r="C56" s="65" t="s">
        <v>73</v>
      </c>
      <c r="D56" s="25">
        <f>0.0577</f>
        <v>5.7700000000000001E-2</v>
      </c>
      <c r="E56" s="26">
        <f>0.0507</f>
        <v>5.0700000000000002E-2</v>
      </c>
      <c r="F56" s="26">
        <f>0.0544</f>
        <v>5.4399999999999997E-2</v>
      </c>
      <c r="G56" s="26">
        <f>0.0477</f>
        <v>4.7699999999999999E-2</v>
      </c>
      <c r="H56" s="26">
        <f>0.0553</f>
        <v>5.5300000000000002E-2</v>
      </c>
      <c r="I56" s="26">
        <f>0.0453</f>
        <v>4.53E-2</v>
      </c>
      <c r="J56" s="26">
        <f>0.0299</f>
        <v>2.9899999999999999E-2</v>
      </c>
      <c r="K56" s="26">
        <f>0.0159</f>
        <v>1.5900000000000001E-2</v>
      </c>
      <c r="L56" s="49">
        <f>0.0088</f>
        <v>8.8000000000000005E-3</v>
      </c>
    </row>
    <row r="57" spans="1:12" ht="99.75" customHeight="1">
      <c r="A57" s="3" t="s">
        <v>93</v>
      </c>
      <c r="B57" s="4" t="s">
        <v>94</v>
      </c>
      <c r="C57" s="65" t="s">
        <v>73</v>
      </c>
      <c r="D57" s="27" t="str">
        <f>IF(D53&lt;=D55,"Spełniona","Nie spełniona")</f>
        <v>Spełniona</v>
      </c>
      <c r="E57" s="28" t="str">
        <f t="shared" ref="E57:L57" si="2">IF(E53&lt;=E55,"Spełniona","Nie spełniona")</f>
        <v>Spełniona</v>
      </c>
      <c r="F57" s="28" t="str">
        <f t="shared" si="2"/>
        <v>Spełniona</v>
      </c>
      <c r="G57" s="28" t="str">
        <f t="shared" si="2"/>
        <v>Spełniona</v>
      </c>
      <c r="H57" s="28" t="str">
        <f t="shared" si="2"/>
        <v>Spełniona</v>
      </c>
      <c r="I57" s="28" t="str">
        <f t="shared" si="2"/>
        <v>Spełniona</v>
      </c>
      <c r="J57" s="28" t="str">
        <f t="shared" si="2"/>
        <v>Spełniona</v>
      </c>
      <c r="K57" s="28" t="str">
        <f t="shared" si="2"/>
        <v>Spełniona</v>
      </c>
      <c r="L57" s="50" t="str">
        <f t="shared" si="2"/>
        <v>Spełniona</v>
      </c>
    </row>
    <row r="58" spans="1:12" ht="95.25" customHeight="1">
      <c r="A58" s="3" t="s">
        <v>95</v>
      </c>
      <c r="B58" s="5" t="s">
        <v>96</v>
      </c>
      <c r="C58" s="65" t="s">
        <v>73</v>
      </c>
      <c r="D58" s="27" t="str">
        <f>IF(D53&lt;=D56,"Spełniona","Nie spełniona")</f>
        <v>Spełniona</v>
      </c>
      <c r="E58" s="28" t="str">
        <f t="shared" ref="E58:L58" si="3">IF(E53&lt;=E56,"Spełniona","Nie spełniona")</f>
        <v>Spełniona</v>
      </c>
      <c r="F58" s="28" t="str">
        <f t="shared" si="3"/>
        <v>Spełniona</v>
      </c>
      <c r="G58" s="28" t="str">
        <f t="shared" si="3"/>
        <v>Spełniona</v>
      </c>
      <c r="H58" s="28" t="str">
        <f t="shared" si="3"/>
        <v>Spełniona</v>
      </c>
      <c r="I58" s="28" t="str">
        <f t="shared" si="3"/>
        <v>Spełniona</v>
      </c>
      <c r="J58" s="28" t="str">
        <f t="shared" si="3"/>
        <v>Spełniona</v>
      </c>
      <c r="K58" s="28" t="str">
        <f t="shared" si="3"/>
        <v>Spełniona</v>
      </c>
      <c r="L58" s="50" t="str">
        <f t="shared" si="3"/>
        <v>Spełniona</v>
      </c>
    </row>
    <row r="59" spans="1:12" ht="24">
      <c r="A59" s="1">
        <v>10</v>
      </c>
      <c r="B59" s="2" t="s">
        <v>97</v>
      </c>
      <c r="C59" s="61">
        <v>0</v>
      </c>
      <c r="D59" s="19">
        <f>0</f>
        <v>0</v>
      </c>
      <c r="E59" s="20">
        <f>2240500</f>
        <v>2240500</v>
      </c>
      <c r="F59" s="20">
        <f>1725000</f>
        <v>1725000</v>
      </c>
      <c r="G59" s="20">
        <f>1725000</f>
        <v>1725000</v>
      </c>
      <c r="H59" s="20">
        <f>1860000</f>
        <v>1860000</v>
      </c>
      <c r="I59" s="20">
        <f>512500</f>
        <v>512500</v>
      </c>
      <c r="J59" s="20">
        <f>512500</f>
        <v>512500</v>
      </c>
      <c r="K59" s="20">
        <f>562500</f>
        <v>562500</v>
      </c>
      <c r="L59" s="47">
        <f>512500</f>
        <v>512500</v>
      </c>
    </row>
    <row r="60" spans="1:12" ht="24">
      <c r="A60" s="3" t="s">
        <v>98</v>
      </c>
      <c r="B60" s="4" t="s">
        <v>99</v>
      </c>
      <c r="C60" s="60">
        <v>0</v>
      </c>
      <c r="D60" s="21">
        <f>0</f>
        <v>0</v>
      </c>
      <c r="E60" s="22">
        <f>2240500</f>
        <v>2240500</v>
      </c>
      <c r="F60" s="22">
        <f>1725000</f>
        <v>1725000</v>
      </c>
      <c r="G60" s="22">
        <f>1725000</f>
        <v>1725000</v>
      </c>
      <c r="H60" s="22">
        <f>1860000</f>
        <v>1860000</v>
      </c>
      <c r="I60" s="22">
        <f>512500</f>
        <v>512500</v>
      </c>
      <c r="J60" s="22">
        <f>512500</f>
        <v>512500</v>
      </c>
      <c r="K60" s="22">
        <f>512500</f>
        <v>512500</v>
      </c>
      <c r="L60" s="46">
        <f>512500</f>
        <v>512500</v>
      </c>
    </row>
    <row r="61" spans="1:12" ht="24">
      <c r="A61" s="1">
        <v>11</v>
      </c>
      <c r="B61" s="2" t="s">
        <v>100</v>
      </c>
      <c r="C61" s="65" t="s">
        <v>73</v>
      </c>
      <c r="D61" s="23" t="s">
        <v>73</v>
      </c>
      <c r="E61" s="24" t="s">
        <v>73</v>
      </c>
      <c r="F61" s="24" t="s">
        <v>73</v>
      </c>
      <c r="G61" s="24" t="s">
        <v>73</v>
      </c>
      <c r="H61" s="24" t="s">
        <v>73</v>
      </c>
      <c r="I61" s="24" t="s">
        <v>73</v>
      </c>
      <c r="J61" s="24" t="s">
        <v>73</v>
      </c>
      <c r="K61" s="24" t="s">
        <v>73</v>
      </c>
      <c r="L61" s="48" t="s">
        <v>73</v>
      </c>
    </row>
    <row r="62" spans="1:12" ht="24">
      <c r="A62" s="3" t="s">
        <v>101</v>
      </c>
      <c r="B62" s="4" t="s">
        <v>102</v>
      </c>
      <c r="C62" s="60">
        <v>18268434.370000001</v>
      </c>
      <c r="D62" s="21">
        <f>34589674</f>
        <v>34589674</v>
      </c>
      <c r="E62" s="22">
        <f>34384883</f>
        <v>34384883</v>
      </c>
      <c r="F62" s="22">
        <f>34728732</f>
        <v>34728732</v>
      </c>
      <c r="G62" s="22">
        <f>35076019</f>
        <v>35076019</v>
      </c>
      <c r="H62" s="22">
        <f>0</f>
        <v>0</v>
      </c>
      <c r="I62" s="22">
        <f>0</f>
        <v>0</v>
      </c>
      <c r="J62" s="22">
        <f>0</f>
        <v>0</v>
      </c>
      <c r="K62" s="22">
        <f>0</f>
        <v>0</v>
      </c>
      <c r="L62" s="46">
        <f>0</f>
        <v>0</v>
      </c>
    </row>
    <row r="63" spans="1:12" ht="24">
      <c r="A63" s="3" t="s">
        <v>103</v>
      </c>
      <c r="B63" s="4" t="s">
        <v>104</v>
      </c>
      <c r="C63" s="60">
        <v>3109348.32</v>
      </c>
      <c r="D63" s="21">
        <f>6163705</f>
        <v>6163705</v>
      </c>
      <c r="E63" s="22">
        <f>6255849</f>
        <v>6255849</v>
      </c>
      <c r="F63" s="22">
        <f>6318408</f>
        <v>6318408</v>
      </c>
      <c r="G63" s="22">
        <f>6381592</f>
        <v>6381592</v>
      </c>
      <c r="H63" s="22">
        <f>0</f>
        <v>0</v>
      </c>
      <c r="I63" s="22">
        <f>0</f>
        <v>0</v>
      </c>
      <c r="J63" s="22">
        <f>0</f>
        <v>0</v>
      </c>
      <c r="K63" s="22">
        <f>0</f>
        <v>0</v>
      </c>
      <c r="L63" s="46">
        <f>0</f>
        <v>0</v>
      </c>
    </row>
    <row r="64" spans="1:12" ht="24">
      <c r="A64" s="3" t="s">
        <v>105</v>
      </c>
      <c r="B64" s="4" t="s">
        <v>106</v>
      </c>
      <c r="C64" s="60">
        <f>C65+C66</f>
        <v>1859207.69</v>
      </c>
      <c r="D64" s="21">
        <f>2298052</f>
        <v>2298052</v>
      </c>
      <c r="E64" s="22">
        <f>3735473</f>
        <v>3735473</v>
      </c>
      <c r="F64" s="22">
        <f>4326988</f>
        <v>4326988</v>
      </c>
      <c r="G64" s="22">
        <f>7949894</f>
        <v>7949894</v>
      </c>
      <c r="H64" s="22">
        <f>0</f>
        <v>0</v>
      </c>
      <c r="I64" s="22">
        <f>0</f>
        <v>0</v>
      </c>
      <c r="J64" s="22">
        <f>0</f>
        <v>0</v>
      </c>
      <c r="K64" s="22">
        <f>0</f>
        <v>0</v>
      </c>
      <c r="L64" s="46">
        <f>0</f>
        <v>0</v>
      </c>
    </row>
    <row r="65" spans="1:12">
      <c r="A65" s="3" t="s">
        <v>107</v>
      </c>
      <c r="B65" s="5" t="s">
        <v>108</v>
      </c>
      <c r="C65" s="60">
        <v>913693.68</v>
      </c>
      <c r="D65" s="21">
        <f>1199131</f>
        <v>1199131</v>
      </c>
      <c r="E65" s="22">
        <f>651222</f>
        <v>651222</v>
      </c>
      <c r="F65" s="22">
        <f>980587</f>
        <v>980587</v>
      </c>
      <c r="G65" s="22">
        <f>756559</f>
        <v>756559</v>
      </c>
      <c r="H65" s="22">
        <f>0</f>
        <v>0</v>
      </c>
      <c r="I65" s="22">
        <f>0</f>
        <v>0</v>
      </c>
      <c r="J65" s="22">
        <f>0</f>
        <v>0</v>
      </c>
      <c r="K65" s="22">
        <f>0</f>
        <v>0</v>
      </c>
      <c r="L65" s="46">
        <f>0</f>
        <v>0</v>
      </c>
    </row>
    <row r="66" spans="1:12">
      <c r="A66" s="3" t="s">
        <v>109</v>
      </c>
      <c r="B66" s="5" t="s">
        <v>110</v>
      </c>
      <c r="C66" s="60">
        <v>945514.01</v>
      </c>
      <c r="D66" s="21">
        <f>1098921</f>
        <v>1098921</v>
      </c>
      <c r="E66" s="22">
        <f>3084251</f>
        <v>3084251</v>
      </c>
      <c r="F66" s="22">
        <f>3346401</f>
        <v>3346401</v>
      </c>
      <c r="G66" s="22">
        <f>7193335</f>
        <v>7193335</v>
      </c>
      <c r="H66" s="22">
        <f>0</f>
        <v>0</v>
      </c>
      <c r="I66" s="22">
        <f>0</f>
        <v>0</v>
      </c>
      <c r="J66" s="22">
        <f>0</f>
        <v>0</v>
      </c>
      <c r="K66" s="22">
        <f>0</f>
        <v>0</v>
      </c>
      <c r="L66" s="46">
        <f>0</f>
        <v>0</v>
      </c>
    </row>
    <row r="67" spans="1:12">
      <c r="A67" s="3" t="s">
        <v>111</v>
      </c>
      <c r="B67" s="4" t="s">
        <v>112</v>
      </c>
      <c r="C67" s="60">
        <v>1007473.05</v>
      </c>
      <c r="D67" s="21">
        <f>1751455</f>
        <v>1751455</v>
      </c>
      <c r="E67" s="22">
        <f>0</f>
        <v>0</v>
      </c>
      <c r="F67" s="22">
        <f>0</f>
        <v>0</v>
      </c>
      <c r="G67" s="22">
        <f>0</f>
        <v>0</v>
      </c>
      <c r="H67" s="22">
        <f>0</f>
        <v>0</v>
      </c>
      <c r="I67" s="22">
        <f>0</f>
        <v>0</v>
      </c>
      <c r="J67" s="22">
        <f>0</f>
        <v>0</v>
      </c>
      <c r="K67" s="22">
        <f>0</f>
        <v>0</v>
      </c>
      <c r="L67" s="46">
        <f>0</f>
        <v>0</v>
      </c>
    </row>
    <row r="68" spans="1:12">
      <c r="A68" s="3" t="s">
        <v>113</v>
      </c>
      <c r="B68" s="4" t="s">
        <v>114</v>
      </c>
      <c r="C68" s="60">
        <v>251110.47</v>
      </c>
      <c r="D68" s="21">
        <f>5463132</f>
        <v>5463132</v>
      </c>
      <c r="E68" s="22">
        <f>0</f>
        <v>0</v>
      </c>
      <c r="F68" s="22">
        <f>0</f>
        <v>0</v>
      </c>
      <c r="G68" s="22">
        <f>0</f>
        <v>0</v>
      </c>
      <c r="H68" s="22">
        <f>0</f>
        <v>0</v>
      </c>
      <c r="I68" s="22">
        <f>0</f>
        <v>0</v>
      </c>
      <c r="J68" s="22">
        <f>0</f>
        <v>0</v>
      </c>
      <c r="K68" s="22">
        <f>0</f>
        <v>0</v>
      </c>
      <c r="L68" s="46">
        <f>0</f>
        <v>0</v>
      </c>
    </row>
    <row r="69" spans="1:12">
      <c r="A69" s="3" t="s">
        <v>115</v>
      </c>
      <c r="B69" s="4" t="s">
        <v>116</v>
      </c>
      <c r="C69" s="60">
        <v>0</v>
      </c>
      <c r="D69" s="21">
        <f>0</f>
        <v>0</v>
      </c>
      <c r="E69" s="22">
        <f>0</f>
        <v>0</v>
      </c>
      <c r="F69" s="22">
        <f>0</f>
        <v>0</v>
      </c>
      <c r="G69" s="22">
        <f>0</f>
        <v>0</v>
      </c>
      <c r="H69" s="22">
        <f>0</f>
        <v>0</v>
      </c>
      <c r="I69" s="22">
        <f>0</f>
        <v>0</v>
      </c>
      <c r="J69" s="22">
        <f>0</f>
        <v>0</v>
      </c>
      <c r="K69" s="22">
        <f>0</f>
        <v>0</v>
      </c>
      <c r="L69" s="46">
        <f>0</f>
        <v>0</v>
      </c>
    </row>
    <row r="70" spans="1:12" ht="36">
      <c r="A70" s="1">
        <v>12</v>
      </c>
      <c r="B70" s="2" t="s">
        <v>117</v>
      </c>
      <c r="C70" s="65" t="s">
        <v>73</v>
      </c>
      <c r="D70" s="23" t="s">
        <v>73</v>
      </c>
      <c r="E70" s="24" t="s">
        <v>73</v>
      </c>
      <c r="F70" s="24" t="s">
        <v>73</v>
      </c>
      <c r="G70" s="24" t="s">
        <v>73</v>
      </c>
      <c r="H70" s="24" t="s">
        <v>73</v>
      </c>
      <c r="I70" s="24" t="s">
        <v>73</v>
      </c>
      <c r="J70" s="24" t="s">
        <v>73</v>
      </c>
      <c r="K70" s="24" t="s">
        <v>73</v>
      </c>
      <c r="L70" s="48" t="s">
        <v>73</v>
      </c>
    </row>
    <row r="71" spans="1:12" ht="36">
      <c r="A71" s="3" t="s">
        <v>118</v>
      </c>
      <c r="B71" s="4" t="s">
        <v>119</v>
      </c>
      <c r="C71" s="60">
        <v>708657.38</v>
      </c>
      <c r="D71" s="21">
        <f>1199131</f>
        <v>1199131</v>
      </c>
      <c r="E71" s="22">
        <f>618661</f>
        <v>618661</v>
      </c>
      <c r="F71" s="22">
        <f>931558</f>
        <v>931558</v>
      </c>
      <c r="G71" s="22">
        <f>718731</f>
        <v>718731</v>
      </c>
      <c r="H71" s="22">
        <f>0</f>
        <v>0</v>
      </c>
      <c r="I71" s="22">
        <f>0</f>
        <v>0</v>
      </c>
      <c r="J71" s="22">
        <f>0</f>
        <v>0</v>
      </c>
      <c r="K71" s="22">
        <f>0</f>
        <v>0</v>
      </c>
      <c r="L71" s="46">
        <f>0</f>
        <v>0</v>
      </c>
    </row>
    <row r="72" spans="1:12" ht="24">
      <c r="A72" s="3" t="s">
        <v>120</v>
      </c>
      <c r="B72" s="10" t="s">
        <v>121</v>
      </c>
      <c r="C72" s="60">
        <v>602358.77</v>
      </c>
      <c r="D72" s="21">
        <f>1019262</f>
        <v>1019262</v>
      </c>
      <c r="E72" s="22">
        <f>553539</f>
        <v>553539</v>
      </c>
      <c r="F72" s="22">
        <f>833499</f>
        <v>833499</v>
      </c>
      <c r="G72" s="22">
        <f>643075</f>
        <v>643075</v>
      </c>
      <c r="H72" s="22">
        <f>0</f>
        <v>0</v>
      </c>
      <c r="I72" s="22">
        <f>0</f>
        <v>0</v>
      </c>
      <c r="J72" s="22">
        <f>0</f>
        <v>0</v>
      </c>
      <c r="K72" s="22">
        <f>0</f>
        <v>0</v>
      </c>
      <c r="L72" s="46">
        <f>0</f>
        <v>0</v>
      </c>
    </row>
    <row r="73" spans="1:12" ht="48">
      <c r="A73" s="3" t="s">
        <v>122</v>
      </c>
      <c r="B73" s="11" t="s">
        <v>123</v>
      </c>
      <c r="C73" s="60">
        <v>0</v>
      </c>
      <c r="D73" s="21">
        <f>0</f>
        <v>0</v>
      </c>
      <c r="E73" s="22">
        <f>0</f>
        <v>0</v>
      </c>
      <c r="F73" s="22">
        <f>0</f>
        <v>0</v>
      </c>
      <c r="G73" s="22">
        <f>0</f>
        <v>0</v>
      </c>
      <c r="H73" s="22">
        <f>0</f>
        <v>0</v>
      </c>
      <c r="I73" s="22">
        <f>0</f>
        <v>0</v>
      </c>
      <c r="J73" s="22">
        <f>0</f>
        <v>0</v>
      </c>
      <c r="K73" s="22">
        <f>0</f>
        <v>0</v>
      </c>
      <c r="L73" s="46">
        <f>0</f>
        <v>0</v>
      </c>
    </row>
    <row r="74" spans="1:12" ht="48">
      <c r="A74" s="3" t="s">
        <v>124</v>
      </c>
      <c r="B74" s="4" t="s">
        <v>125</v>
      </c>
      <c r="C74" s="60">
        <v>3687.28</v>
      </c>
      <c r="D74" s="21">
        <f>312436</f>
        <v>312436</v>
      </c>
      <c r="E74" s="22">
        <f>0</f>
        <v>0</v>
      </c>
      <c r="F74" s="22">
        <f>0</f>
        <v>0</v>
      </c>
      <c r="G74" s="22">
        <f>0</f>
        <v>0</v>
      </c>
      <c r="H74" s="22">
        <f>0</f>
        <v>0</v>
      </c>
      <c r="I74" s="22">
        <f>0</f>
        <v>0</v>
      </c>
      <c r="J74" s="22">
        <f>0</f>
        <v>0</v>
      </c>
      <c r="K74" s="22">
        <f>0</f>
        <v>0</v>
      </c>
      <c r="L74" s="46">
        <f>0</f>
        <v>0</v>
      </c>
    </row>
    <row r="75" spans="1:12" ht="24">
      <c r="A75" s="3" t="s">
        <v>126</v>
      </c>
      <c r="B75" s="10" t="s">
        <v>121</v>
      </c>
      <c r="C75" s="60">
        <v>3687.28</v>
      </c>
      <c r="D75" s="21">
        <f>312436</f>
        <v>312436</v>
      </c>
      <c r="E75" s="22">
        <f>0</f>
        <v>0</v>
      </c>
      <c r="F75" s="22">
        <f>0</f>
        <v>0</v>
      </c>
      <c r="G75" s="22">
        <f>0</f>
        <v>0</v>
      </c>
      <c r="H75" s="22">
        <f>0</f>
        <v>0</v>
      </c>
      <c r="I75" s="22">
        <f>0</f>
        <v>0</v>
      </c>
      <c r="J75" s="22">
        <f>0</f>
        <v>0</v>
      </c>
      <c r="K75" s="22">
        <f>0</f>
        <v>0</v>
      </c>
      <c r="L75" s="46">
        <f>0</f>
        <v>0</v>
      </c>
    </row>
    <row r="76" spans="1:12" ht="48">
      <c r="A76" s="3" t="s">
        <v>127</v>
      </c>
      <c r="B76" s="11" t="s">
        <v>128</v>
      </c>
      <c r="C76" s="60">
        <v>0</v>
      </c>
      <c r="D76" s="21">
        <f>0</f>
        <v>0</v>
      </c>
      <c r="E76" s="22">
        <f>0</f>
        <v>0</v>
      </c>
      <c r="F76" s="22">
        <f>0</f>
        <v>0</v>
      </c>
      <c r="G76" s="22">
        <f>0</f>
        <v>0</v>
      </c>
      <c r="H76" s="22">
        <f>0</f>
        <v>0</v>
      </c>
      <c r="I76" s="22">
        <f>0</f>
        <v>0</v>
      </c>
      <c r="J76" s="22">
        <f>0</f>
        <v>0</v>
      </c>
      <c r="K76" s="22">
        <f>0</f>
        <v>0</v>
      </c>
      <c r="L76" s="46">
        <f>0</f>
        <v>0</v>
      </c>
    </row>
    <row r="77" spans="1:12" ht="36">
      <c r="A77" s="3" t="s">
        <v>129</v>
      </c>
      <c r="B77" s="4" t="s">
        <v>130</v>
      </c>
      <c r="C77" s="60">
        <v>913693.68</v>
      </c>
      <c r="D77" s="21">
        <f>1199131</f>
        <v>1199131</v>
      </c>
      <c r="E77" s="22">
        <f>651222</f>
        <v>651222</v>
      </c>
      <c r="F77" s="22">
        <f>980587</f>
        <v>980587</v>
      </c>
      <c r="G77" s="22">
        <f>756559</f>
        <v>756559</v>
      </c>
      <c r="H77" s="22">
        <f>0</f>
        <v>0</v>
      </c>
      <c r="I77" s="22">
        <f>0</f>
        <v>0</v>
      </c>
      <c r="J77" s="22">
        <f>0</f>
        <v>0</v>
      </c>
      <c r="K77" s="22">
        <f>0</f>
        <v>0</v>
      </c>
      <c r="L77" s="46">
        <f>0</f>
        <v>0</v>
      </c>
    </row>
    <row r="78" spans="1:12" ht="24">
      <c r="A78" s="3" t="s">
        <v>131</v>
      </c>
      <c r="B78" s="10" t="s">
        <v>132</v>
      </c>
      <c r="C78" s="60">
        <f>31436.08+7386.06+7687.35+916.44+19631.6+13940+534869.3+159802.58+970.23</f>
        <v>776639.64</v>
      </c>
      <c r="D78" s="21">
        <f>1019262</f>
        <v>1019262</v>
      </c>
      <c r="E78" s="22">
        <f>553539</f>
        <v>553539</v>
      </c>
      <c r="F78" s="22">
        <f>833499</f>
        <v>833499</v>
      </c>
      <c r="G78" s="22">
        <f>643075</f>
        <v>643075</v>
      </c>
      <c r="H78" s="22">
        <f>0</f>
        <v>0</v>
      </c>
      <c r="I78" s="22">
        <f>0</f>
        <v>0</v>
      </c>
      <c r="J78" s="22">
        <f>0</f>
        <v>0</v>
      </c>
      <c r="K78" s="22">
        <f>0</f>
        <v>0</v>
      </c>
      <c r="L78" s="46">
        <f>0</f>
        <v>0</v>
      </c>
    </row>
    <row r="79" spans="1:12" ht="60">
      <c r="A79" s="3" t="s">
        <v>133</v>
      </c>
      <c r="B79" s="5" t="s">
        <v>134</v>
      </c>
      <c r="C79" s="60">
        <v>0</v>
      </c>
      <c r="D79" s="21">
        <f>0</f>
        <v>0</v>
      </c>
      <c r="E79" s="22">
        <f>0</f>
        <v>0</v>
      </c>
      <c r="F79" s="22">
        <f>0</f>
        <v>0</v>
      </c>
      <c r="G79" s="22">
        <f>0</f>
        <v>0</v>
      </c>
      <c r="H79" s="22">
        <f>0</f>
        <v>0</v>
      </c>
      <c r="I79" s="22">
        <f>0</f>
        <v>0</v>
      </c>
      <c r="J79" s="22">
        <f>0</f>
        <v>0</v>
      </c>
      <c r="K79" s="22">
        <f>0</f>
        <v>0</v>
      </c>
      <c r="L79" s="46">
        <f>0</f>
        <v>0</v>
      </c>
    </row>
    <row r="80" spans="1:12" ht="36">
      <c r="A80" s="3" t="s">
        <v>135</v>
      </c>
      <c r="B80" s="4" t="s">
        <v>136</v>
      </c>
      <c r="C80" s="60">
        <v>0</v>
      </c>
      <c r="D80" s="21">
        <f>374932</f>
        <v>374932</v>
      </c>
      <c r="E80" s="22">
        <f>0</f>
        <v>0</v>
      </c>
      <c r="F80" s="22">
        <f>0</f>
        <v>0</v>
      </c>
      <c r="G80" s="22">
        <f>0</f>
        <v>0</v>
      </c>
      <c r="H80" s="22">
        <f>0</f>
        <v>0</v>
      </c>
      <c r="I80" s="22">
        <f>0</f>
        <v>0</v>
      </c>
      <c r="J80" s="22">
        <f>0</f>
        <v>0</v>
      </c>
      <c r="K80" s="22">
        <f>0</f>
        <v>0</v>
      </c>
      <c r="L80" s="46">
        <f>0</f>
        <v>0</v>
      </c>
    </row>
    <row r="81" spans="1:12" ht="24">
      <c r="A81" s="3" t="s">
        <v>137</v>
      </c>
      <c r="B81" s="10" t="s">
        <v>138</v>
      </c>
      <c r="C81" s="60">
        <v>0</v>
      </c>
      <c r="D81" s="21">
        <f>374932</f>
        <v>374932</v>
      </c>
      <c r="E81" s="22">
        <f>0</f>
        <v>0</v>
      </c>
      <c r="F81" s="22">
        <f>0</f>
        <v>0</v>
      </c>
      <c r="G81" s="22">
        <f>0</f>
        <v>0</v>
      </c>
      <c r="H81" s="22">
        <f>0</f>
        <v>0</v>
      </c>
      <c r="I81" s="22">
        <f>0</f>
        <v>0</v>
      </c>
      <c r="J81" s="22">
        <f>0</f>
        <v>0</v>
      </c>
      <c r="K81" s="22">
        <f>0</f>
        <v>0</v>
      </c>
      <c r="L81" s="46">
        <f>0</f>
        <v>0</v>
      </c>
    </row>
    <row r="82" spans="1:12" ht="75.75" customHeight="1">
      <c r="A82" s="3" t="s">
        <v>139</v>
      </c>
      <c r="B82" s="5" t="s">
        <v>140</v>
      </c>
      <c r="C82" s="60">
        <v>0</v>
      </c>
      <c r="D82" s="21">
        <f>0</f>
        <v>0</v>
      </c>
      <c r="E82" s="22">
        <f>0</f>
        <v>0</v>
      </c>
      <c r="F82" s="22">
        <f>0</f>
        <v>0</v>
      </c>
      <c r="G82" s="22">
        <f>0</f>
        <v>0</v>
      </c>
      <c r="H82" s="22">
        <f>0</f>
        <v>0</v>
      </c>
      <c r="I82" s="22">
        <f>0</f>
        <v>0</v>
      </c>
      <c r="J82" s="22">
        <f>0</f>
        <v>0</v>
      </c>
      <c r="K82" s="22">
        <f>0</f>
        <v>0</v>
      </c>
      <c r="L82" s="46">
        <f>0</f>
        <v>0</v>
      </c>
    </row>
    <row r="83" spans="1:12" ht="78" customHeight="1">
      <c r="A83" s="3" t="s">
        <v>141</v>
      </c>
      <c r="B83" s="4" t="s">
        <v>142</v>
      </c>
      <c r="C83" s="60">
        <v>0</v>
      </c>
      <c r="D83" s="21">
        <f>0</f>
        <v>0</v>
      </c>
      <c r="E83" s="22">
        <f>0</f>
        <v>0</v>
      </c>
      <c r="F83" s="22">
        <f>0</f>
        <v>0</v>
      </c>
      <c r="G83" s="22">
        <f>0</f>
        <v>0</v>
      </c>
      <c r="H83" s="22">
        <f>0</f>
        <v>0</v>
      </c>
      <c r="I83" s="22">
        <f>0</f>
        <v>0</v>
      </c>
      <c r="J83" s="22">
        <f>0</f>
        <v>0</v>
      </c>
      <c r="K83" s="22">
        <f>0</f>
        <v>0</v>
      </c>
      <c r="L83" s="46">
        <f>0</f>
        <v>0</v>
      </c>
    </row>
    <row r="84" spans="1:12" ht="24">
      <c r="A84" s="3" t="s">
        <v>143</v>
      </c>
      <c r="B84" s="5" t="s">
        <v>144</v>
      </c>
      <c r="C84" s="60">
        <v>0</v>
      </c>
      <c r="D84" s="21">
        <f>0</f>
        <v>0</v>
      </c>
      <c r="E84" s="22">
        <f>0</f>
        <v>0</v>
      </c>
      <c r="F84" s="22">
        <f>0</f>
        <v>0</v>
      </c>
      <c r="G84" s="22">
        <f>0</f>
        <v>0</v>
      </c>
      <c r="H84" s="22">
        <f>0</f>
        <v>0</v>
      </c>
      <c r="I84" s="22">
        <f>0</f>
        <v>0</v>
      </c>
      <c r="J84" s="22">
        <f>0</f>
        <v>0</v>
      </c>
      <c r="K84" s="22">
        <f>0</f>
        <v>0</v>
      </c>
      <c r="L84" s="46">
        <f>0</f>
        <v>0</v>
      </c>
    </row>
    <row r="85" spans="1:12" ht="60">
      <c r="A85" s="3" t="s">
        <v>145</v>
      </c>
      <c r="B85" s="4" t="s">
        <v>146</v>
      </c>
      <c r="C85" s="60">
        <v>0</v>
      </c>
      <c r="D85" s="21">
        <f>0</f>
        <v>0</v>
      </c>
      <c r="E85" s="22">
        <f>0</f>
        <v>0</v>
      </c>
      <c r="F85" s="22">
        <f>0</f>
        <v>0</v>
      </c>
      <c r="G85" s="22">
        <f>0</f>
        <v>0</v>
      </c>
      <c r="H85" s="22">
        <f>0</f>
        <v>0</v>
      </c>
      <c r="I85" s="22">
        <f>0</f>
        <v>0</v>
      </c>
      <c r="J85" s="22">
        <f>0</f>
        <v>0</v>
      </c>
      <c r="K85" s="22">
        <f>0</f>
        <v>0</v>
      </c>
      <c r="L85" s="46">
        <f>0</f>
        <v>0</v>
      </c>
    </row>
    <row r="86" spans="1:12" ht="24">
      <c r="A86" s="3" t="s">
        <v>147</v>
      </c>
      <c r="B86" s="5" t="s">
        <v>144</v>
      </c>
      <c r="C86" s="60">
        <v>0</v>
      </c>
      <c r="D86" s="21">
        <f>0</f>
        <v>0</v>
      </c>
      <c r="E86" s="22">
        <f>0</f>
        <v>0</v>
      </c>
      <c r="F86" s="22">
        <f>0</f>
        <v>0</v>
      </c>
      <c r="G86" s="22">
        <f>0</f>
        <v>0</v>
      </c>
      <c r="H86" s="22">
        <f>0</f>
        <v>0</v>
      </c>
      <c r="I86" s="22">
        <f>0</f>
        <v>0</v>
      </c>
      <c r="J86" s="22">
        <f>0</f>
        <v>0</v>
      </c>
      <c r="K86" s="22">
        <f>0</f>
        <v>0</v>
      </c>
      <c r="L86" s="46">
        <f>0</f>
        <v>0</v>
      </c>
    </row>
    <row r="87" spans="1:12" ht="105.75" customHeight="1">
      <c r="A87" s="3" t="s">
        <v>148</v>
      </c>
      <c r="B87" s="4" t="s">
        <v>149</v>
      </c>
      <c r="C87" s="60">
        <v>0</v>
      </c>
      <c r="D87" s="21">
        <f>0</f>
        <v>0</v>
      </c>
      <c r="E87" s="22">
        <f>0</f>
        <v>0</v>
      </c>
      <c r="F87" s="22">
        <f>0</f>
        <v>0</v>
      </c>
      <c r="G87" s="22">
        <f>0</f>
        <v>0</v>
      </c>
      <c r="H87" s="22">
        <f>0</f>
        <v>0</v>
      </c>
      <c r="I87" s="22">
        <f>0</f>
        <v>0</v>
      </c>
      <c r="J87" s="22">
        <f>0</f>
        <v>0</v>
      </c>
      <c r="K87" s="22">
        <f>0</f>
        <v>0</v>
      </c>
      <c r="L87" s="46">
        <f>0</f>
        <v>0</v>
      </c>
    </row>
    <row r="88" spans="1:12" ht="24">
      <c r="A88" s="3" t="s">
        <v>150</v>
      </c>
      <c r="B88" s="5" t="s">
        <v>144</v>
      </c>
      <c r="C88" s="60">
        <v>0</v>
      </c>
      <c r="D88" s="21">
        <f>0</f>
        <v>0</v>
      </c>
      <c r="E88" s="22">
        <f>0</f>
        <v>0</v>
      </c>
      <c r="F88" s="22">
        <f>0</f>
        <v>0</v>
      </c>
      <c r="G88" s="22">
        <f>0</f>
        <v>0</v>
      </c>
      <c r="H88" s="22">
        <f>0</f>
        <v>0</v>
      </c>
      <c r="I88" s="22">
        <f>0</f>
        <v>0</v>
      </c>
      <c r="J88" s="22">
        <f>0</f>
        <v>0</v>
      </c>
      <c r="K88" s="22">
        <f>0</f>
        <v>0</v>
      </c>
      <c r="L88" s="46">
        <f>0</f>
        <v>0</v>
      </c>
    </row>
    <row r="89" spans="1:12" ht="84">
      <c r="A89" s="3" t="s">
        <v>151</v>
      </c>
      <c r="B89" s="4" t="s">
        <v>152</v>
      </c>
      <c r="C89" s="60">
        <v>0</v>
      </c>
      <c r="D89" s="21">
        <f>0</f>
        <v>0</v>
      </c>
      <c r="E89" s="22">
        <f>0</f>
        <v>0</v>
      </c>
      <c r="F89" s="22">
        <f>0</f>
        <v>0</v>
      </c>
      <c r="G89" s="22">
        <f>0</f>
        <v>0</v>
      </c>
      <c r="H89" s="22">
        <f>0</f>
        <v>0</v>
      </c>
      <c r="I89" s="22">
        <f>0</f>
        <v>0</v>
      </c>
      <c r="J89" s="22">
        <f>0</f>
        <v>0</v>
      </c>
      <c r="K89" s="22">
        <f>0</f>
        <v>0</v>
      </c>
      <c r="L89" s="46">
        <f>0</f>
        <v>0</v>
      </c>
    </row>
    <row r="90" spans="1:12" ht="24">
      <c r="A90" s="3" t="s">
        <v>153</v>
      </c>
      <c r="B90" s="5" t="s">
        <v>144</v>
      </c>
      <c r="C90" s="60">
        <v>0</v>
      </c>
      <c r="D90" s="21">
        <f>0</f>
        <v>0</v>
      </c>
      <c r="E90" s="22">
        <f>0</f>
        <v>0</v>
      </c>
      <c r="F90" s="22">
        <f>0</f>
        <v>0</v>
      </c>
      <c r="G90" s="22">
        <f>0</f>
        <v>0</v>
      </c>
      <c r="H90" s="22">
        <f>0</f>
        <v>0</v>
      </c>
      <c r="I90" s="22">
        <f>0</f>
        <v>0</v>
      </c>
      <c r="J90" s="22">
        <f>0</f>
        <v>0</v>
      </c>
      <c r="K90" s="22">
        <f>0</f>
        <v>0</v>
      </c>
      <c r="L90" s="46">
        <f>0</f>
        <v>0</v>
      </c>
    </row>
    <row r="91" spans="1:12" ht="48">
      <c r="A91" s="1">
        <v>13</v>
      </c>
      <c r="B91" s="12" t="s">
        <v>154</v>
      </c>
      <c r="C91" s="65" t="s">
        <v>73</v>
      </c>
      <c r="D91" s="23" t="s">
        <v>73</v>
      </c>
      <c r="E91" s="24" t="s">
        <v>73</v>
      </c>
      <c r="F91" s="24" t="s">
        <v>73</v>
      </c>
      <c r="G91" s="24" t="s">
        <v>73</v>
      </c>
      <c r="H91" s="24" t="s">
        <v>73</v>
      </c>
      <c r="I91" s="24" t="s">
        <v>73</v>
      </c>
      <c r="J91" s="24" t="s">
        <v>73</v>
      </c>
      <c r="K91" s="24" t="s">
        <v>73</v>
      </c>
      <c r="L91" s="48" t="s">
        <v>73</v>
      </c>
    </row>
    <row r="92" spans="1:12" ht="60">
      <c r="A92" s="3" t="s">
        <v>155</v>
      </c>
      <c r="B92" s="4" t="s">
        <v>156</v>
      </c>
      <c r="C92" s="60">
        <v>0</v>
      </c>
      <c r="D92" s="21">
        <f>0</f>
        <v>0</v>
      </c>
      <c r="E92" s="22">
        <f>0</f>
        <v>0</v>
      </c>
      <c r="F92" s="22">
        <f>0</f>
        <v>0</v>
      </c>
      <c r="G92" s="22">
        <f>0</f>
        <v>0</v>
      </c>
      <c r="H92" s="22">
        <f>0</f>
        <v>0</v>
      </c>
      <c r="I92" s="22">
        <f>0</f>
        <v>0</v>
      </c>
      <c r="J92" s="22">
        <f>0</f>
        <v>0</v>
      </c>
      <c r="K92" s="22">
        <f>0</f>
        <v>0</v>
      </c>
      <c r="L92" s="46">
        <f>0</f>
        <v>0</v>
      </c>
    </row>
    <row r="93" spans="1:12" ht="60">
      <c r="A93" s="3" t="s">
        <v>157</v>
      </c>
      <c r="B93" s="4" t="s">
        <v>158</v>
      </c>
      <c r="C93" s="60">
        <v>0</v>
      </c>
      <c r="D93" s="21">
        <f>0</f>
        <v>0</v>
      </c>
      <c r="E93" s="22">
        <f>0</f>
        <v>0</v>
      </c>
      <c r="F93" s="22">
        <f>0</f>
        <v>0</v>
      </c>
      <c r="G93" s="22">
        <f>0</f>
        <v>0</v>
      </c>
      <c r="H93" s="22">
        <f>0</f>
        <v>0</v>
      </c>
      <c r="I93" s="22">
        <f>0</f>
        <v>0</v>
      </c>
      <c r="J93" s="22">
        <f>0</f>
        <v>0</v>
      </c>
      <c r="K93" s="22">
        <f>0</f>
        <v>0</v>
      </c>
      <c r="L93" s="46">
        <f>0</f>
        <v>0</v>
      </c>
    </row>
    <row r="94" spans="1:12" ht="36">
      <c r="A94" s="3" t="s">
        <v>159</v>
      </c>
      <c r="B94" s="4" t="s">
        <v>160</v>
      </c>
      <c r="C94" s="60">
        <v>0</v>
      </c>
      <c r="D94" s="21">
        <f>0</f>
        <v>0</v>
      </c>
      <c r="E94" s="22">
        <f>0</f>
        <v>0</v>
      </c>
      <c r="F94" s="22">
        <f>0</f>
        <v>0</v>
      </c>
      <c r="G94" s="22">
        <f>0</f>
        <v>0</v>
      </c>
      <c r="H94" s="22">
        <f>0</f>
        <v>0</v>
      </c>
      <c r="I94" s="22">
        <f>0</f>
        <v>0</v>
      </c>
      <c r="J94" s="22">
        <f>0</f>
        <v>0</v>
      </c>
      <c r="K94" s="22">
        <f>0</f>
        <v>0</v>
      </c>
      <c r="L94" s="46">
        <f>0</f>
        <v>0</v>
      </c>
    </row>
    <row r="95" spans="1:12" ht="60">
      <c r="A95" s="3" t="s">
        <v>161</v>
      </c>
      <c r="B95" s="4" t="s">
        <v>162</v>
      </c>
      <c r="C95" s="60">
        <v>0</v>
      </c>
      <c r="D95" s="21">
        <f>0</f>
        <v>0</v>
      </c>
      <c r="E95" s="22">
        <f>0</f>
        <v>0</v>
      </c>
      <c r="F95" s="22">
        <f>0</f>
        <v>0</v>
      </c>
      <c r="G95" s="22">
        <f>0</f>
        <v>0</v>
      </c>
      <c r="H95" s="22">
        <f>0</f>
        <v>0</v>
      </c>
      <c r="I95" s="22">
        <f>0</f>
        <v>0</v>
      </c>
      <c r="J95" s="22">
        <f>0</f>
        <v>0</v>
      </c>
      <c r="K95" s="22">
        <f>0</f>
        <v>0</v>
      </c>
      <c r="L95" s="46">
        <f>0</f>
        <v>0</v>
      </c>
    </row>
    <row r="96" spans="1:12" ht="60">
      <c r="A96" s="3" t="s">
        <v>163</v>
      </c>
      <c r="B96" s="4" t="s">
        <v>164</v>
      </c>
      <c r="C96" s="60">
        <v>0</v>
      </c>
      <c r="D96" s="21">
        <f>0</f>
        <v>0</v>
      </c>
      <c r="E96" s="22">
        <f>0</f>
        <v>0</v>
      </c>
      <c r="F96" s="22">
        <f>0</f>
        <v>0</v>
      </c>
      <c r="G96" s="22">
        <f>0</f>
        <v>0</v>
      </c>
      <c r="H96" s="22">
        <f>0</f>
        <v>0</v>
      </c>
      <c r="I96" s="22">
        <f>0</f>
        <v>0</v>
      </c>
      <c r="J96" s="22">
        <f>0</f>
        <v>0</v>
      </c>
      <c r="K96" s="22">
        <f>0</f>
        <v>0</v>
      </c>
      <c r="L96" s="46">
        <f>0</f>
        <v>0</v>
      </c>
    </row>
    <row r="97" spans="1:12" ht="48">
      <c r="A97" s="3" t="s">
        <v>165</v>
      </c>
      <c r="B97" s="4" t="s">
        <v>166</v>
      </c>
      <c r="C97" s="60">
        <v>0</v>
      </c>
      <c r="D97" s="21">
        <f>0</f>
        <v>0</v>
      </c>
      <c r="E97" s="22">
        <f>0</f>
        <v>0</v>
      </c>
      <c r="F97" s="22">
        <f>0</f>
        <v>0</v>
      </c>
      <c r="G97" s="22">
        <f>0</f>
        <v>0</v>
      </c>
      <c r="H97" s="22">
        <f>0</f>
        <v>0</v>
      </c>
      <c r="I97" s="22">
        <f>0</f>
        <v>0</v>
      </c>
      <c r="J97" s="22">
        <f>0</f>
        <v>0</v>
      </c>
      <c r="K97" s="22">
        <f>0</f>
        <v>0</v>
      </c>
      <c r="L97" s="46">
        <f>0</f>
        <v>0</v>
      </c>
    </row>
    <row r="98" spans="1:12" ht="36">
      <c r="A98" s="3" t="s">
        <v>167</v>
      </c>
      <c r="B98" s="4" t="s">
        <v>168</v>
      </c>
      <c r="C98" s="60">
        <v>220120.34</v>
      </c>
      <c r="D98" s="21">
        <f>333843</f>
        <v>333843</v>
      </c>
      <c r="E98" s="22">
        <f>0</f>
        <v>0</v>
      </c>
      <c r="F98" s="22">
        <f>0</f>
        <v>0</v>
      </c>
      <c r="G98" s="22">
        <f>0</f>
        <v>0</v>
      </c>
      <c r="H98" s="22">
        <f>0</f>
        <v>0</v>
      </c>
      <c r="I98" s="22">
        <f>0</f>
        <v>0</v>
      </c>
      <c r="J98" s="22">
        <f>0</f>
        <v>0</v>
      </c>
      <c r="K98" s="22">
        <f>0</f>
        <v>0</v>
      </c>
      <c r="L98" s="46">
        <f>0</f>
        <v>0</v>
      </c>
    </row>
    <row r="99" spans="1:12">
      <c r="A99" s="1">
        <v>14</v>
      </c>
      <c r="B99" s="2" t="s">
        <v>169</v>
      </c>
      <c r="C99" s="65" t="s">
        <v>73</v>
      </c>
      <c r="D99" s="23" t="s">
        <v>73</v>
      </c>
      <c r="E99" s="24" t="s">
        <v>73</v>
      </c>
      <c r="F99" s="24" t="s">
        <v>73</v>
      </c>
      <c r="G99" s="24" t="s">
        <v>73</v>
      </c>
      <c r="H99" s="24" t="s">
        <v>73</v>
      </c>
      <c r="I99" s="24" t="s">
        <v>73</v>
      </c>
      <c r="J99" s="24" t="s">
        <v>73</v>
      </c>
      <c r="K99" s="24" t="s">
        <v>73</v>
      </c>
      <c r="L99" s="48" t="s">
        <v>73</v>
      </c>
    </row>
    <row r="100" spans="1:12" ht="48">
      <c r="A100" s="3" t="s">
        <v>170</v>
      </c>
      <c r="B100" s="4" t="s">
        <v>171</v>
      </c>
      <c r="C100" s="60">
        <v>903000</v>
      </c>
      <c r="D100" s="21">
        <f>1813500</f>
        <v>1813500</v>
      </c>
      <c r="E100" s="22">
        <f>2240500</f>
        <v>2240500</v>
      </c>
      <c r="F100" s="22">
        <f>1725000</f>
        <v>1725000</v>
      </c>
      <c r="G100" s="22">
        <f>1725000</f>
        <v>1725000</v>
      </c>
      <c r="H100" s="22">
        <f>1860000</f>
        <v>1860000</v>
      </c>
      <c r="I100" s="22">
        <f>512500</f>
        <v>512500</v>
      </c>
      <c r="J100" s="22">
        <f>512500</f>
        <v>512500</v>
      </c>
      <c r="K100" s="22">
        <f>512500</f>
        <v>512500</v>
      </c>
      <c r="L100" s="46">
        <f>512500</f>
        <v>512500</v>
      </c>
    </row>
    <row r="101" spans="1:12" ht="24">
      <c r="A101" s="3" t="s">
        <v>172</v>
      </c>
      <c r="B101" s="4" t="s">
        <v>173</v>
      </c>
      <c r="C101" s="60">
        <v>0</v>
      </c>
      <c r="D101" s="21">
        <f>0</f>
        <v>0</v>
      </c>
      <c r="E101" s="22">
        <f>0</f>
        <v>0</v>
      </c>
      <c r="F101" s="22">
        <f>0</f>
        <v>0</v>
      </c>
      <c r="G101" s="22">
        <f>0</f>
        <v>0</v>
      </c>
      <c r="H101" s="22">
        <f>0</f>
        <v>0</v>
      </c>
      <c r="I101" s="22">
        <f>0</f>
        <v>0</v>
      </c>
      <c r="J101" s="22">
        <f>0</f>
        <v>0</v>
      </c>
      <c r="K101" s="22">
        <f>0</f>
        <v>0</v>
      </c>
      <c r="L101" s="46">
        <f>0</f>
        <v>0</v>
      </c>
    </row>
    <row r="102" spans="1:12">
      <c r="A102" s="3" t="s">
        <v>174</v>
      </c>
      <c r="B102" s="4" t="s">
        <v>175</v>
      </c>
      <c r="C102" s="60">
        <v>0</v>
      </c>
      <c r="D102" s="21">
        <f>0</f>
        <v>0</v>
      </c>
      <c r="E102" s="22">
        <f>0</f>
        <v>0</v>
      </c>
      <c r="F102" s="22">
        <f>0</f>
        <v>0</v>
      </c>
      <c r="G102" s="22">
        <f>0</f>
        <v>0</v>
      </c>
      <c r="H102" s="22">
        <f>0</f>
        <v>0</v>
      </c>
      <c r="I102" s="22">
        <f>0</f>
        <v>0</v>
      </c>
      <c r="J102" s="22">
        <f>0</f>
        <v>0</v>
      </c>
      <c r="K102" s="22">
        <f>0</f>
        <v>0</v>
      </c>
      <c r="L102" s="46">
        <f>0</f>
        <v>0</v>
      </c>
    </row>
    <row r="103" spans="1:12" ht="24">
      <c r="A103" s="3" t="s">
        <v>176</v>
      </c>
      <c r="B103" s="5" t="s">
        <v>177</v>
      </c>
      <c r="C103" s="60">
        <v>0</v>
      </c>
      <c r="D103" s="21">
        <f>0</f>
        <v>0</v>
      </c>
      <c r="E103" s="22">
        <f>0</f>
        <v>0</v>
      </c>
      <c r="F103" s="22">
        <f>0</f>
        <v>0</v>
      </c>
      <c r="G103" s="22">
        <f>0</f>
        <v>0</v>
      </c>
      <c r="H103" s="22">
        <f>0</f>
        <v>0</v>
      </c>
      <c r="I103" s="22">
        <f>0</f>
        <v>0</v>
      </c>
      <c r="J103" s="22">
        <f>0</f>
        <v>0</v>
      </c>
      <c r="K103" s="22">
        <f>0</f>
        <v>0</v>
      </c>
      <c r="L103" s="46">
        <f>0</f>
        <v>0</v>
      </c>
    </row>
    <row r="104" spans="1:12" ht="36">
      <c r="A104" s="3" t="s">
        <v>178</v>
      </c>
      <c r="B104" s="5" t="s">
        <v>179</v>
      </c>
      <c r="C104" s="60">
        <v>0</v>
      </c>
      <c r="D104" s="21">
        <f>0</f>
        <v>0</v>
      </c>
      <c r="E104" s="22">
        <f>0</f>
        <v>0</v>
      </c>
      <c r="F104" s="22">
        <f>0</f>
        <v>0</v>
      </c>
      <c r="G104" s="22">
        <f>0</f>
        <v>0</v>
      </c>
      <c r="H104" s="22">
        <f>0</f>
        <v>0</v>
      </c>
      <c r="I104" s="22">
        <f>0</f>
        <v>0</v>
      </c>
      <c r="J104" s="22">
        <f>0</f>
        <v>0</v>
      </c>
      <c r="K104" s="22">
        <f>0</f>
        <v>0</v>
      </c>
      <c r="L104" s="46">
        <f>0</f>
        <v>0</v>
      </c>
    </row>
    <row r="105" spans="1:12" ht="24">
      <c r="A105" s="3" t="s">
        <v>180</v>
      </c>
      <c r="B105" s="5" t="s">
        <v>181</v>
      </c>
      <c r="C105" s="60">
        <v>0</v>
      </c>
      <c r="D105" s="21">
        <f>0</f>
        <v>0</v>
      </c>
      <c r="E105" s="22">
        <f>0</f>
        <v>0</v>
      </c>
      <c r="F105" s="22">
        <f>0</f>
        <v>0</v>
      </c>
      <c r="G105" s="22">
        <f>0</f>
        <v>0</v>
      </c>
      <c r="H105" s="22">
        <f>0</f>
        <v>0</v>
      </c>
      <c r="I105" s="22">
        <f>0</f>
        <v>0</v>
      </c>
      <c r="J105" s="22">
        <f>0</f>
        <v>0</v>
      </c>
      <c r="K105" s="22">
        <f>0</f>
        <v>0</v>
      </c>
      <c r="L105" s="46">
        <f>0</f>
        <v>0</v>
      </c>
    </row>
    <row r="106" spans="1:12" ht="36">
      <c r="A106" s="13" t="s">
        <v>182</v>
      </c>
      <c r="B106" s="14" t="s">
        <v>183</v>
      </c>
      <c r="C106" s="62">
        <v>0</v>
      </c>
      <c r="D106" s="29">
        <f>0</f>
        <v>0</v>
      </c>
      <c r="E106" s="30">
        <f>0</f>
        <v>0</v>
      </c>
      <c r="F106" s="30">
        <f>0</f>
        <v>0</v>
      </c>
      <c r="G106" s="30">
        <f>0</f>
        <v>0</v>
      </c>
      <c r="H106" s="30">
        <f>0</f>
        <v>0</v>
      </c>
      <c r="I106" s="30">
        <f>0</f>
        <v>0</v>
      </c>
      <c r="J106" s="30">
        <f>0</f>
        <v>0</v>
      </c>
      <c r="K106" s="30">
        <f>0</f>
        <v>0</v>
      </c>
      <c r="L106" s="51">
        <f>0</f>
        <v>0</v>
      </c>
    </row>
    <row r="107" spans="1:12" ht="24">
      <c r="A107" s="15">
        <v>15</v>
      </c>
      <c r="B107" s="16" t="s">
        <v>184</v>
      </c>
      <c r="C107" s="67" t="s">
        <v>73</v>
      </c>
      <c r="D107" s="31" t="s">
        <v>73</v>
      </c>
      <c r="E107" s="32" t="s">
        <v>73</v>
      </c>
      <c r="F107" s="32" t="s">
        <v>73</v>
      </c>
      <c r="G107" s="32" t="s">
        <v>73</v>
      </c>
      <c r="H107" s="32" t="s">
        <v>73</v>
      </c>
      <c r="I107" s="32" t="s">
        <v>73</v>
      </c>
      <c r="J107" s="32" t="s">
        <v>73</v>
      </c>
      <c r="K107" s="32" t="s">
        <v>73</v>
      </c>
      <c r="L107" s="52" t="s">
        <v>73</v>
      </c>
    </row>
    <row r="108" spans="1:12" ht="24">
      <c r="A108" s="17" t="s">
        <v>185</v>
      </c>
      <c r="B108" s="18" t="s">
        <v>186</v>
      </c>
      <c r="C108" s="63">
        <v>0</v>
      </c>
      <c r="D108" s="33">
        <f>0</f>
        <v>0</v>
      </c>
      <c r="E108" s="34">
        <f>0</f>
        <v>0</v>
      </c>
      <c r="F108" s="34">
        <f>0</f>
        <v>0</v>
      </c>
      <c r="G108" s="34">
        <f>0</f>
        <v>0</v>
      </c>
      <c r="H108" s="34">
        <f>0</f>
        <v>0</v>
      </c>
      <c r="I108" s="34">
        <f>0</f>
        <v>0</v>
      </c>
      <c r="J108" s="34">
        <f>0</f>
        <v>0</v>
      </c>
      <c r="K108" s="34">
        <f>0</f>
        <v>0</v>
      </c>
      <c r="L108" s="53">
        <f>0</f>
        <v>0</v>
      </c>
    </row>
    <row r="109" spans="1:12" ht="24">
      <c r="A109" s="3" t="s">
        <v>187</v>
      </c>
      <c r="B109" s="5" t="s">
        <v>188</v>
      </c>
      <c r="C109" s="60">
        <v>0</v>
      </c>
      <c r="D109" s="21">
        <f>0</f>
        <v>0</v>
      </c>
      <c r="E109" s="22">
        <f>0</f>
        <v>0</v>
      </c>
      <c r="F109" s="22">
        <f>0</f>
        <v>0</v>
      </c>
      <c r="G109" s="22">
        <f>0</f>
        <v>0</v>
      </c>
      <c r="H109" s="22">
        <f>0</f>
        <v>0</v>
      </c>
      <c r="I109" s="22">
        <f>0</f>
        <v>0</v>
      </c>
      <c r="J109" s="22">
        <f>0</f>
        <v>0</v>
      </c>
      <c r="K109" s="22">
        <f>0</f>
        <v>0</v>
      </c>
      <c r="L109" s="46">
        <f>0</f>
        <v>0</v>
      </c>
    </row>
    <row r="110" spans="1:12" ht="48">
      <c r="A110" s="54" t="s">
        <v>189</v>
      </c>
      <c r="B110" s="55" t="s">
        <v>190</v>
      </c>
      <c r="C110" s="64">
        <v>0</v>
      </c>
      <c r="D110" s="56">
        <f>0</f>
        <v>0</v>
      </c>
      <c r="E110" s="57">
        <f>0</f>
        <v>0</v>
      </c>
      <c r="F110" s="57">
        <f>0</f>
        <v>0</v>
      </c>
      <c r="G110" s="57">
        <f>0</f>
        <v>0</v>
      </c>
      <c r="H110" s="57">
        <f>0</f>
        <v>0</v>
      </c>
      <c r="I110" s="57">
        <f>0</f>
        <v>0</v>
      </c>
      <c r="J110" s="57">
        <f>0</f>
        <v>0</v>
      </c>
      <c r="K110" s="57">
        <f>0</f>
        <v>0</v>
      </c>
      <c r="L110" s="58">
        <f>0</f>
        <v>0</v>
      </c>
    </row>
  </sheetData>
  <mergeCells count="5">
    <mergeCell ref="A4:A5"/>
    <mergeCell ref="B4:B5"/>
    <mergeCell ref="C4:C5"/>
    <mergeCell ref="D4:L4"/>
    <mergeCell ref="B2:K2"/>
  </mergeCells>
  <conditionalFormatting sqref="D57:L58">
    <cfRule type="expression" dxfId="0" priority="1" stopIfTrue="1">
      <formula>LEFT(D57,3)="Nie"</formula>
    </cfRule>
  </conditionalFormatting>
  <pageMargins left="0.23622047244094491" right="0.23622047244094491" top="0.55118110236220474" bottom="0.55118110236220474" header="0.31496062992125984" footer="0.31496062992125984"/>
  <pageSetup paperSize="9" scale="80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AniaB</dc:creator>
  <cp:lastModifiedBy>AniaB</cp:lastModifiedBy>
  <cp:lastPrinted>2016-07-19T09:26:21Z</cp:lastPrinted>
  <dcterms:created xsi:type="dcterms:W3CDTF">2016-07-15T08:03:09Z</dcterms:created>
  <dcterms:modified xsi:type="dcterms:W3CDTF">2016-08-04T09:37:15Z</dcterms:modified>
</cp:coreProperties>
</file>