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uniak\Desktop\Realizacja_WPF_za_I_półrocze_2020\"/>
    </mc:Choice>
  </mc:AlternateContent>
  <bookViews>
    <workbookView xWindow="0" yWindow="0" windowWidth="18135" windowHeight="11085"/>
  </bookViews>
  <sheets>
    <sheet name="Arkusz1" sheetId="1" r:id="rId1"/>
  </sheets>
  <definedNames>
    <definedName name="_xlnm.Print_Titles" localSheetId="0">Arkusz1!$3:$4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3" i="1"/>
  <c r="C11" i="1"/>
  <c r="C10" i="1"/>
  <c r="C15" i="1" l="1"/>
  <c r="C14" i="1"/>
  <c r="C65" i="1"/>
  <c r="C76" i="1" l="1"/>
  <c r="C50" i="1" l="1"/>
  <c r="C24" i="1" l="1"/>
  <c r="C16" i="1"/>
  <c r="C13" i="1"/>
  <c r="C6" i="1"/>
  <c r="C40" i="1"/>
  <c r="C29" i="1"/>
  <c r="D54" i="1"/>
  <c r="D53" i="1"/>
  <c r="C5" i="1" l="1"/>
  <c r="C27" i="1" s="1"/>
  <c r="K99" i="1"/>
  <c r="J99" i="1"/>
  <c r="I99" i="1"/>
  <c r="H99" i="1"/>
  <c r="G99" i="1"/>
  <c r="F99" i="1"/>
  <c r="E99" i="1"/>
  <c r="D99" i="1"/>
  <c r="K98" i="1"/>
  <c r="J98" i="1"/>
  <c r="I98" i="1"/>
  <c r="H98" i="1"/>
  <c r="G98" i="1"/>
  <c r="F98" i="1"/>
  <c r="E98" i="1"/>
  <c r="D98" i="1"/>
  <c r="K97" i="1"/>
  <c r="J97" i="1"/>
  <c r="I97" i="1"/>
  <c r="H97" i="1"/>
  <c r="G97" i="1"/>
  <c r="F97" i="1"/>
  <c r="E97" i="1"/>
  <c r="D97" i="1"/>
  <c r="K95" i="1"/>
  <c r="J95" i="1"/>
  <c r="I95" i="1"/>
  <c r="H95" i="1"/>
  <c r="G95" i="1"/>
  <c r="F95" i="1"/>
  <c r="E95" i="1"/>
  <c r="D95" i="1"/>
  <c r="K94" i="1"/>
  <c r="J94" i="1"/>
  <c r="I94" i="1"/>
  <c r="H94" i="1"/>
  <c r="G94" i="1"/>
  <c r="F94" i="1"/>
  <c r="E94" i="1"/>
  <c r="D94" i="1"/>
  <c r="K93" i="1"/>
  <c r="J93" i="1"/>
  <c r="I93" i="1"/>
  <c r="H93" i="1"/>
  <c r="G93" i="1"/>
  <c r="F93" i="1"/>
  <c r="E93" i="1"/>
  <c r="D93" i="1"/>
  <c r="K91" i="1"/>
  <c r="J91" i="1"/>
  <c r="I91" i="1"/>
  <c r="H91" i="1"/>
  <c r="G91" i="1"/>
  <c r="F91" i="1"/>
  <c r="E91" i="1"/>
  <c r="D91" i="1"/>
  <c r="K90" i="1"/>
  <c r="J90" i="1"/>
  <c r="I90" i="1"/>
  <c r="H90" i="1"/>
  <c r="G90" i="1"/>
  <c r="F90" i="1"/>
  <c r="E90" i="1"/>
  <c r="D90" i="1"/>
  <c r="K89" i="1"/>
  <c r="J89" i="1"/>
  <c r="I89" i="1"/>
  <c r="H89" i="1"/>
  <c r="G89" i="1"/>
  <c r="F89" i="1"/>
  <c r="E89" i="1"/>
  <c r="D89" i="1"/>
  <c r="K88" i="1"/>
  <c r="J88" i="1"/>
  <c r="I88" i="1"/>
  <c r="H88" i="1"/>
  <c r="G88" i="1"/>
  <c r="F88" i="1"/>
  <c r="E88" i="1"/>
  <c r="D88" i="1"/>
  <c r="K87" i="1"/>
  <c r="J87" i="1"/>
  <c r="I87" i="1"/>
  <c r="H87" i="1"/>
  <c r="G87" i="1"/>
  <c r="F87" i="1"/>
  <c r="E87" i="1"/>
  <c r="D87" i="1"/>
  <c r="K86" i="1"/>
  <c r="J86" i="1"/>
  <c r="I86" i="1"/>
  <c r="H86" i="1"/>
  <c r="G86" i="1"/>
  <c r="F86" i="1"/>
  <c r="E86" i="1"/>
  <c r="D86" i="1"/>
  <c r="K85" i="1"/>
  <c r="J85" i="1"/>
  <c r="I85" i="1"/>
  <c r="H85" i="1"/>
  <c r="G85" i="1"/>
  <c r="F85" i="1"/>
  <c r="E85" i="1"/>
  <c r="D85" i="1"/>
  <c r="K84" i="1"/>
  <c r="J84" i="1"/>
  <c r="I84" i="1"/>
  <c r="H84" i="1"/>
  <c r="G84" i="1"/>
  <c r="F84" i="1"/>
  <c r="E84" i="1"/>
  <c r="D84" i="1"/>
  <c r="K83" i="1"/>
  <c r="J83" i="1"/>
  <c r="I83" i="1"/>
  <c r="H83" i="1"/>
  <c r="G83" i="1"/>
  <c r="F83" i="1"/>
  <c r="E83" i="1"/>
  <c r="D83" i="1"/>
  <c r="K82" i="1"/>
  <c r="J82" i="1"/>
  <c r="I82" i="1"/>
  <c r="H82" i="1"/>
  <c r="G82" i="1"/>
  <c r="F82" i="1"/>
  <c r="E82" i="1"/>
  <c r="D82" i="1"/>
  <c r="K81" i="1"/>
  <c r="J81" i="1"/>
  <c r="I81" i="1"/>
  <c r="H81" i="1"/>
  <c r="G81" i="1"/>
  <c r="F81" i="1"/>
  <c r="E81" i="1"/>
  <c r="D81" i="1"/>
  <c r="K80" i="1"/>
  <c r="J80" i="1"/>
  <c r="I80" i="1"/>
  <c r="H80" i="1"/>
  <c r="G80" i="1"/>
  <c r="F80" i="1"/>
  <c r="E80" i="1"/>
  <c r="D80" i="1"/>
  <c r="K79" i="1"/>
  <c r="J79" i="1"/>
  <c r="I79" i="1"/>
  <c r="H79" i="1"/>
  <c r="G79" i="1"/>
  <c r="F79" i="1"/>
  <c r="E79" i="1"/>
  <c r="D79" i="1"/>
  <c r="K78" i="1"/>
  <c r="J78" i="1"/>
  <c r="I78" i="1"/>
  <c r="H78" i="1"/>
  <c r="G78" i="1"/>
  <c r="F78" i="1"/>
  <c r="E78" i="1"/>
  <c r="D78" i="1"/>
  <c r="K77" i="1"/>
  <c r="J77" i="1"/>
  <c r="I77" i="1"/>
  <c r="H77" i="1"/>
  <c r="G77" i="1"/>
  <c r="F77" i="1"/>
  <c r="E77" i="1"/>
  <c r="D77" i="1"/>
  <c r="K76" i="1"/>
  <c r="J76" i="1"/>
  <c r="I76" i="1"/>
  <c r="H76" i="1"/>
  <c r="G76" i="1"/>
  <c r="F76" i="1"/>
  <c r="E76" i="1"/>
  <c r="D76" i="1"/>
  <c r="K74" i="1"/>
  <c r="J74" i="1"/>
  <c r="I74" i="1"/>
  <c r="H74" i="1"/>
  <c r="G74" i="1"/>
  <c r="F74" i="1"/>
  <c r="E74" i="1"/>
  <c r="K73" i="1"/>
  <c r="J73" i="1"/>
  <c r="I73" i="1"/>
  <c r="H73" i="1"/>
  <c r="G73" i="1"/>
  <c r="F73" i="1"/>
  <c r="E73" i="1"/>
  <c r="D73" i="1"/>
  <c r="K72" i="1"/>
  <c r="J72" i="1"/>
  <c r="I72" i="1"/>
  <c r="H72" i="1"/>
  <c r="G72" i="1"/>
  <c r="F72" i="1"/>
  <c r="E72" i="1"/>
  <c r="D72" i="1"/>
  <c r="K71" i="1"/>
  <c r="J71" i="1"/>
  <c r="I71" i="1"/>
  <c r="H71" i="1"/>
  <c r="G71" i="1"/>
  <c r="F71" i="1"/>
  <c r="E71" i="1"/>
  <c r="D71" i="1"/>
  <c r="K70" i="1"/>
  <c r="J70" i="1"/>
  <c r="I70" i="1"/>
  <c r="H70" i="1"/>
  <c r="G70" i="1"/>
  <c r="F70" i="1"/>
  <c r="E70" i="1"/>
  <c r="D70" i="1"/>
  <c r="K69" i="1"/>
  <c r="J69" i="1"/>
  <c r="I69" i="1"/>
  <c r="H69" i="1"/>
  <c r="G69" i="1"/>
  <c r="F69" i="1"/>
  <c r="E69" i="1"/>
  <c r="D69" i="1"/>
  <c r="K68" i="1"/>
  <c r="J68" i="1"/>
  <c r="I68" i="1"/>
  <c r="H68" i="1"/>
  <c r="G68" i="1"/>
  <c r="F68" i="1"/>
  <c r="E68" i="1"/>
  <c r="K67" i="1"/>
  <c r="J67" i="1"/>
  <c r="I67" i="1"/>
  <c r="H67" i="1"/>
  <c r="G67" i="1"/>
  <c r="F67" i="1"/>
  <c r="E67" i="1"/>
  <c r="D67" i="1"/>
  <c r="K66" i="1"/>
  <c r="J66" i="1"/>
  <c r="I66" i="1"/>
  <c r="H66" i="1"/>
  <c r="G66" i="1"/>
  <c r="F66" i="1"/>
  <c r="E66" i="1"/>
  <c r="D66" i="1"/>
  <c r="K65" i="1"/>
  <c r="J65" i="1"/>
  <c r="I65" i="1"/>
  <c r="H65" i="1"/>
  <c r="G65" i="1"/>
  <c r="F65" i="1"/>
  <c r="E65" i="1"/>
  <c r="D65" i="1"/>
  <c r="K64" i="1"/>
  <c r="J64" i="1"/>
  <c r="I64" i="1"/>
  <c r="H64" i="1"/>
  <c r="G64" i="1"/>
  <c r="F64" i="1"/>
  <c r="E64" i="1"/>
  <c r="D64" i="1"/>
  <c r="K63" i="1"/>
  <c r="J63" i="1"/>
  <c r="I63" i="1"/>
  <c r="H63" i="1"/>
  <c r="G63" i="1"/>
  <c r="F63" i="1"/>
  <c r="E63" i="1"/>
  <c r="D63" i="1"/>
  <c r="K59" i="1"/>
  <c r="J59" i="1"/>
  <c r="I59" i="1"/>
  <c r="H59" i="1"/>
  <c r="G59" i="1"/>
  <c r="F59" i="1"/>
  <c r="E59" i="1"/>
  <c r="D59" i="1"/>
  <c r="K58" i="1"/>
  <c r="J58" i="1"/>
  <c r="I58" i="1"/>
  <c r="H58" i="1"/>
  <c r="G58" i="1"/>
  <c r="F58" i="1"/>
  <c r="E58" i="1"/>
  <c r="D58" i="1"/>
  <c r="K57" i="1"/>
  <c r="J57" i="1"/>
  <c r="I57" i="1"/>
  <c r="H57" i="1"/>
  <c r="G57" i="1"/>
  <c r="F57" i="1"/>
  <c r="E57" i="1"/>
  <c r="D57" i="1"/>
  <c r="K56" i="1"/>
  <c r="J56" i="1"/>
  <c r="I56" i="1"/>
  <c r="I60" i="1" s="1"/>
  <c r="H56" i="1"/>
  <c r="G56" i="1"/>
  <c r="F56" i="1"/>
  <c r="E56" i="1"/>
  <c r="D56" i="1"/>
  <c r="K54" i="1"/>
  <c r="J54" i="1"/>
  <c r="I54" i="1"/>
  <c r="H54" i="1"/>
  <c r="G54" i="1"/>
  <c r="F54" i="1"/>
  <c r="E54" i="1"/>
  <c r="K53" i="1"/>
  <c r="J53" i="1"/>
  <c r="I53" i="1"/>
  <c r="H53" i="1"/>
  <c r="G53" i="1"/>
  <c r="F53" i="1"/>
  <c r="E53" i="1"/>
  <c r="K51" i="1"/>
  <c r="J51" i="1"/>
  <c r="I51" i="1"/>
  <c r="H51" i="1"/>
  <c r="G51" i="1"/>
  <c r="F51" i="1"/>
  <c r="E51" i="1"/>
  <c r="D51" i="1"/>
  <c r="K50" i="1"/>
  <c r="J50" i="1"/>
  <c r="I50" i="1"/>
  <c r="H50" i="1"/>
  <c r="G50" i="1"/>
  <c r="F50" i="1"/>
  <c r="E50" i="1"/>
  <c r="D50" i="1"/>
  <c r="K49" i="1"/>
  <c r="J49" i="1"/>
  <c r="I49" i="1"/>
  <c r="H49" i="1"/>
  <c r="G49" i="1"/>
  <c r="F49" i="1"/>
  <c r="E49" i="1"/>
  <c r="D49" i="1"/>
  <c r="K48" i="1"/>
  <c r="J48" i="1"/>
  <c r="I48" i="1"/>
  <c r="H48" i="1"/>
  <c r="G48" i="1"/>
  <c r="F48" i="1"/>
  <c r="E48" i="1"/>
  <c r="D48" i="1"/>
  <c r="K47" i="1"/>
  <c r="J47" i="1"/>
  <c r="I47" i="1"/>
  <c r="H47" i="1"/>
  <c r="G47" i="1"/>
  <c r="F47" i="1"/>
  <c r="E47" i="1"/>
  <c r="D47" i="1"/>
  <c r="K46" i="1"/>
  <c r="J46" i="1"/>
  <c r="I46" i="1"/>
  <c r="H46" i="1"/>
  <c r="G46" i="1"/>
  <c r="F46" i="1"/>
  <c r="E46" i="1"/>
  <c r="D46" i="1"/>
  <c r="K45" i="1"/>
  <c r="J45" i="1"/>
  <c r="I45" i="1"/>
  <c r="H45" i="1"/>
  <c r="G45" i="1"/>
  <c r="F45" i="1"/>
  <c r="E45" i="1"/>
  <c r="D45" i="1"/>
  <c r="K44" i="1"/>
  <c r="J44" i="1"/>
  <c r="I44" i="1"/>
  <c r="H44" i="1"/>
  <c r="G44" i="1"/>
  <c r="F44" i="1"/>
  <c r="E44" i="1"/>
  <c r="D44" i="1"/>
  <c r="K43" i="1"/>
  <c r="J43" i="1"/>
  <c r="I43" i="1"/>
  <c r="H43" i="1"/>
  <c r="G43" i="1"/>
  <c r="F43" i="1"/>
  <c r="E43" i="1"/>
  <c r="D43" i="1"/>
  <c r="K42" i="1"/>
  <c r="J42" i="1"/>
  <c r="I42" i="1"/>
  <c r="H42" i="1"/>
  <c r="G42" i="1"/>
  <c r="F42" i="1"/>
  <c r="E42" i="1"/>
  <c r="D42" i="1"/>
  <c r="K41" i="1"/>
  <c r="J41" i="1"/>
  <c r="I41" i="1"/>
  <c r="H41" i="1"/>
  <c r="G41" i="1"/>
  <c r="F41" i="1"/>
  <c r="E41" i="1"/>
  <c r="D41" i="1"/>
  <c r="K40" i="1"/>
  <c r="J40" i="1"/>
  <c r="I40" i="1"/>
  <c r="H40" i="1"/>
  <c r="G40" i="1"/>
  <c r="F40" i="1"/>
  <c r="E40" i="1"/>
  <c r="D40" i="1"/>
  <c r="K39" i="1"/>
  <c r="J39" i="1"/>
  <c r="I39" i="1"/>
  <c r="H39" i="1"/>
  <c r="G39" i="1"/>
  <c r="F39" i="1"/>
  <c r="E39" i="1"/>
  <c r="D39" i="1"/>
  <c r="K38" i="1"/>
  <c r="J38" i="1"/>
  <c r="I38" i="1"/>
  <c r="H38" i="1"/>
  <c r="G38" i="1"/>
  <c r="F38" i="1"/>
  <c r="E38" i="1"/>
  <c r="D38" i="1"/>
  <c r="K37" i="1"/>
  <c r="J37" i="1"/>
  <c r="I37" i="1"/>
  <c r="H37" i="1"/>
  <c r="G37" i="1"/>
  <c r="F37" i="1"/>
  <c r="E37" i="1"/>
  <c r="D37" i="1"/>
  <c r="K36" i="1"/>
  <c r="J36" i="1"/>
  <c r="I36" i="1"/>
  <c r="H36" i="1"/>
  <c r="G36" i="1"/>
  <c r="F36" i="1"/>
  <c r="E36" i="1"/>
  <c r="D36" i="1"/>
  <c r="K35" i="1"/>
  <c r="J35" i="1"/>
  <c r="I35" i="1"/>
  <c r="H35" i="1"/>
  <c r="G35" i="1"/>
  <c r="F35" i="1"/>
  <c r="E35" i="1"/>
  <c r="D35" i="1"/>
  <c r="K34" i="1"/>
  <c r="J34" i="1"/>
  <c r="I34" i="1"/>
  <c r="H34" i="1"/>
  <c r="G34" i="1"/>
  <c r="F34" i="1"/>
  <c r="E34" i="1"/>
  <c r="D34" i="1"/>
  <c r="K33" i="1"/>
  <c r="J33" i="1"/>
  <c r="I33" i="1"/>
  <c r="H33" i="1"/>
  <c r="G33" i="1"/>
  <c r="F33" i="1"/>
  <c r="E33" i="1"/>
  <c r="D33" i="1"/>
  <c r="K32" i="1"/>
  <c r="J32" i="1"/>
  <c r="I32" i="1"/>
  <c r="H32" i="1"/>
  <c r="G32" i="1"/>
  <c r="F32" i="1"/>
  <c r="E32" i="1"/>
  <c r="D32" i="1"/>
  <c r="K31" i="1"/>
  <c r="J31" i="1"/>
  <c r="I31" i="1"/>
  <c r="H31" i="1"/>
  <c r="G31" i="1"/>
  <c r="F31" i="1"/>
  <c r="E31" i="1"/>
  <c r="D31" i="1"/>
  <c r="K30" i="1"/>
  <c r="J30" i="1"/>
  <c r="I30" i="1"/>
  <c r="H30" i="1"/>
  <c r="G30" i="1"/>
  <c r="F30" i="1"/>
  <c r="E30" i="1"/>
  <c r="D30" i="1"/>
  <c r="K29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K27" i="1"/>
  <c r="J27" i="1"/>
  <c r="I27" i="1"/>
  <c r="H27" i="1"/>
  <c r="G27" i="1"/>
  <c r="F27" i="1"/>
  <c r="E27" i="1"/>
  <c r="D27" i="1"/>
  <c r="K26" i="1"/>
  <c r="J26" i="1"/>
  <c r="I26" i="1"/>
  <c r="H26" i="1"/>
  <c r="G26" i="1"/>
  <c r="F26" i="1"/>
  <c r="E26" i="1"/>
  <c r="D26" i="1"/>
  <c r="K25" i="1"/>
  <c r="J25" i="1"/>
  <c r="I25" i="1"/>
  <c r="H25" i="1"/>
  <c r="G25" i="1"/>
  <c r="F25" i="1"/>
  <c r="E25" i="1"/>
  <c r="K24" i="1"/>
  <c r="J24" i="1"/>
  <c r="I24" i="1"/>
  <c r="H24" i="1"/>
  <c r="G24" i="1"/>
  <c r="F24" i="1"/>
  <c r="E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K17" i="1"/>
  <c r="J17" i="1"/>
  <c r="I17" i="1"/>
  <c r="H17" i="1"/>
  <c r="G17" i="1"/>
  <c r="F17" i="1"/>
  <c r="E17" i="1"/>
  <c r="K16" i="1"/>
  <c r="J16" i="1"/>
  <c r="I16" i="1"/>
  <c r="H16" i="1"/>
  <c r="G16" i="1"/>
  <c r="F16" i="1"/>
  <c r="E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E7" i="1"/>
  <c r="D7" i="1"/>
  <c r="K6" i="1"/>
  <c r="J6" i="1"/>
  <c r="I6" i="1"/>
  <c r="H6" i="1"/>
  <c r="G6" i="1"/>
  <c r="F6" i="1"/>
  <c r="E6" i="1"/>
  <c r="K5" i="1"/>
  <c r="J5" i="1"/>
  <c r="I5" i="1"/>
  <c r="H5" i="1"/>
  <c r="G5" i="1"/>
  <c r="F5" i="1"/>
  <c r="E5" i="1"/>
  <c r="L99" i="1"/>
  <c r="L98" i="1"/>
  <c r="L97" i="1"/>
  <c r="L95" i="1"/>
  <c r="L94" i="1"/>
  <c r="L93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4" i="1"/>
  <c r="L73" i="1"/>
  <c r="L72" i="1"/>
  <c r="L71" i="1"/>
  <c r="L70" i="1"/>
  <c r="L69" i="1"/>
  <c r="L68" i="1"/>
  <c r="L67" i="1"/>
  <c r="L66" i="1"/>
  <c r="L65" i="1"/>
  <c r="L64" i="1"/>
  <c r="L63" i="1"/>
  <c r="L59" i="1"/>
  <c r="L58" i="1"/>
  <c r="L57" i="1"/>
  <c r="L56" i="1"/>
  <c r="L54" i="1"/>
  <c r="L53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F61" i="1" l="1"/>
  <c r="D61" i="1"/>
  <c r="J61" i="1"/>
  <c r="E61" i="1"/>
  <c r="K61" i="1"/>
  <c r="H60" i="1"/>
  <c r="E60" i="1"/>
  <c r="D60" i="1"/>
  <c r="J60" i="1"/>
  <c r="K60" i="1"/>
  <c r="G61" i="1"/>
  <c r="I61" i="1"/>
  <c r="F60" i="1"/>
  <c r="H61" i="1"/>
  <c r="G60" i="1"/>
  <c r="L60" i="1"/>
  <c r="L61" i="1"/>
  <c r="J4" i="1" l="1"/>
  <c r="K4" i="1" s="1"/>
  <c r="D2" i="1"/>
</calcChain>
</file>

<file path=xl/sharedStrings.xml><?xml version="1.0" encoding="utf-8"?>
<sst xmlns="http://schemas.openxmlformats.org/spreadsheetml/2006/main" count="264" uniqueCount="180">
  <si>
    <t>Lp.</t>
  </si>
  <si>
    <t>Wyszczególnienie</t>
  </si>
  <si>
    <t>Dochody ogółem</t>
  </si>
  <si>
    <t>1.1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</si>
  <si>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</si>
  <si>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</si>
  <si>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</si>
  <si>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</si>
  <si>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</si>
  <si>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</si>
  <si>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</si>
  <si>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</si>
  <si>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</si>
  <si>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</si>
  <si>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</si>
  <si>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</si>
  <si>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</si>
  <si>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</si>
  <si>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</si>
  <si>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</si>
  <si>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</si>
  <si>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</si>
  <si>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</si>
  <si>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2.1.2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</si>
  <si>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</si>
  <si>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</si>
  <si>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</si>
  <si>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</si>
  <si>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2.2</t>
  </si>
  <si>
    <t>Wynik budżetu</t>
  </si>
  <si>
    <t>Przychody budżetu</t>
  </si>
  <si>
    <t>4.1</t>
  </si>
  <si>
    <t>4.1.1</t>
  </si>
  <si>
    <t>4.2</t>
  </si>
  <si>
    <t>4.2.1</t>
  </si>
  <si>
    <t>4.3</t>
  </si>
  <si>
    <t>4.3.1</t>
  </si>
  <si>
    <t>4.4</t>
  </si>
  <si>
    <t>4.4.1</t>
  </si>
  <si>
    <t>Rozchody budżetu</t>
  </si>
  <si>
    <t>5.1</t>
  </si>
  <si>
    <t>5.1.1</t>
  </si>
  <si>
    <t>5.1.1.1</t>
  </si>
  <si>
    <t>5.1.1.2</t>
  </si>
  <si>
    <t>5.1.1.3</t>
  </si>
  <si>
    <t>5.2</t>
  </si>
  <si>
    <t>Relacja zrównoważenia wydatków bieżących, o której mowa w art. 242 ustawy</t>
  </si>
  <si>
    <t>x</t>
  </si>
  <si>
    <t>8.1</t>
  </si>
  <si>
    <t>8.2</t>
  </si>
  <si>
    <t>Wskaźnik spłaty zobowiązań</t>
  </si>
  <si>
    <t>9.1</t>
  </si>
  <si>
    <t>9.2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</si>
  <si>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</si>
  <si>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</si>
  <si>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</si>
  <si>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</si>
  <si>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</si>
  <si>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10.1</t>
  </si>
  <si>
    <t>11.1</t>
  </si>
  <si>
    <t>11.2</t>
  </si>
  <si>
    <t>bieżące</t>
  </si>
  <si>
    <t>majątkowe</t>
  </si>
  <si>
    <t>Finansowanie programów, projektów lub zadań realizowanych z udziałem środków, o których mowa w art. 5 ust. 1 pkt 2 i 3 ustawy</t>
  </si>
  <si>
    <t>12.1</t>
  </si>
  <si>
    <t>12.2</t>
  </si>
  <si>
    <t>12.3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</si>
  <si>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</si>
  <si>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</si>
  <si>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Wydatki bieżące na pokrycie ujemnego wyniku finansowego samodzielnego publicznego zakładu opieki zdrowotnej</t>
  </si>
  <si>
    <t>wypłaty z tytułu wymagalnych poręczeń i gwarancji</t>
  </si>
  <si>
    <t>Dane dotyczące emitowanych obligacji przychodowych</t>
  </si>
  <si>
    <t>Plan</t>
  </si>
  <si>
    <t/>
  </si>
  <si>
    <t>Dochody bieżące, z tego:</t>
  </si>
  <si>
    <t>pozostałe dochody bieżące, w tym:</t>
  </si>
  <si>
    <t>1.1.5.1</t>
  </si>
  <si>
    <t>Dochody majątkowe, w tym:</t>
  </si>
  <si>
    <t>na wynagrodzenia i składki od nich naliczane</t>
  </si>
  <si>
    <t>z tytułu poręczeń i gwarancji, w tym:</t>
  </si>
  <si>
    <t>2.1.2.1</t>
  </si>
  <si>
    <t>gwarancje i poręczenia podlegające wyłączeniu z limitu spłaty zobowiązań, o którym mowa w art. 243 ustawy</t>
  </si>
  <si>
    <t>2.1.3.2</t>
  </si>
  <si>
    <t>odsetki i dyskonto podlegające wyłączeniu z limitu spłaty zobowiązań, o którym mowa w art. 243 ustawy, z tytułu zobowiązań zaciągniętych na wkład krajowy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</si>
  <si>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</si>
  <si>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</si>
  <si>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</si>
  <si>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</si>
  <si>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</si>
  <si>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3.1</t>
  </si>
  <si>
    <t>Kwota prognozowanej nadwyżki budżetu przeznaczana na spłatę kredytów, pożyczek i wykup papierów wartościowych</t>
  </si>
  <si>
    <t>Kredyty, pożyczki, emisja papierów wartościowych, w tym:</t>
  </si>
  <si>
    <t>na pokrycie deficytu budżetu</t>
  </si>
  <si>
    <t>Nadwyżka budżetowa z lat ubiegłych, w tym:</t>
  </si>
  <si>
    <t>Wolne środki, o których mowa w art. 217 ust. 2 pkt 6 ustawy, w tym:</t>
  </si>
  <si>
    <t>Spłaty udzielonych pożyczek w latach ubiegłych, w tym:</t>
  </si>
  <si>
    <t>4.5</t>
  </si>
  <si>
    <t>Inne przychody niezwiązane z zaciągnięciem długu, w tym:</t>
  </si>
  <si>
    <t>4.5.1</t>
  </si>
  <si>
    <t>Spłaty rat kapitałowych kredytów i pożyczek oraz wykup papierów wartościowych, w tym: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</si>
  <si>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</si>
  <si>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</si>
  <si>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</si>
  <si>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</si>
  <si>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</si>
  <si>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</si>
  <si>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</si>
  <si>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</si>
  <si>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</si>
  <si>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</si>
  <si>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</si>
  <si>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</si>
  <si>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</si>
  <si>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</si>
  <si>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</si>
  <si>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7.1</t>
  </si>
  <si>
    <t>Różnica między dochodami bieżącymi a wydatkami bieżącymi</t>
  </si>
  <si>
    <t>7.2</t>
  </si>
  <si>
    <t>Różnica między dochodami bieżącymi, skorygowanymi o środki a wydatkami bieżącymi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</si>
  <si>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</si>
  <si>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Relacja określona po prawej stronie nierówności we wzorze, o którym mowa w art. 243 ust. 1 ustawy, ustalona dla danego roku (wskaźnik jednoroczny)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</si>
  <si>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</si>
  <si>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</si>
  <si>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</si>
  <si>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</si>
  <si>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</si>
  <si>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8.4.1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</si>
  <si>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</si>
  <si>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</si>
  <si>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</si>
  <si>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</si>
  <si>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</si>
  <si>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</si>
  <si>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</si>
  <si>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</si>
  <si>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</si>
  <si>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</si>
  <si>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</si>
  <si>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</si>
  <si>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</si>
  <si>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</si>
  <si>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</si>
  <si>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</si>
  <si>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</si>
  <si>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Wydatki objęte limitem, o którym mowa w art. 226 ust. 3 pkt 4 ustawy, z tego:</t>
  </si>
  <si>
    <t>10.1.1</t>
  </si>
  <si>
    <t>10.1.2</t>
  </si>
  <si>
    <t>10.2</t>
  </si>
  <si>
    <t>10.3</t>
  </si>
  <si>
    <t>Wydatki na spłatę zobowiązań przejmowanych w związku z likwidacją lub przekształceniem samodzielnego publicznego zakładu opieki zdrowotnej</t>
  </si>
  <si>
    <t>10.4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</si>
  <si>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</si>
  <si>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</si>
  <si>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</si>
  <si>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</si>
  <si>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</si>
  <si>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</si>
  <si>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</si>
  <si>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</si>
  <si>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</si>
  <si>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</si>
  <si>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</si>
  <si>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</si>
  <si>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</si>
  <si>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</si>
  <si>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</si>
  <si>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</si>
  <si>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</si>
  <si>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</si>
  <si>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</si>
  <si>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Środki z przedsięwzięcia gromadzone na rachunku bankowym, w tym:</t>
  </si>
  <si>
    <t>11.1.1</t>
  </si>
  <si>
    <t>środki na zaspokojenie roszczeń obligatariuszy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</si>
  <si>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</si>
  <si>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</si>
  <si>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Stopień niezachowania relacji zrównoważenia wydatków bieżących, o której mowa w poz. 7.2.</t>
  </si>
  <si>
    <t>Stopień niezachowania wskaźnika spłaty zobowiązań, o którym mowa w poz. 8.4.</t>
  </si>
  <si>
    <t>Stopień niezachowania wskaźnika spłaty zobowiązań, o którym mowa w poz. 8.4.1.</t>
  </si>
  <si>
    <t>REALIZACJA WIELOLETNIEJ PROGNOZY FINANSOWEJ POWIATU ŚWIDWIŃSKIEGO ZA I PÓŁROCZE 2020 ROKU</t>
  </si>
  <si>
    <t>Wykonanie za I półrocze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</si>
</sst>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#,##0.00"/>
  </numFmts>
  <fonts count="14"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1" fontId="6" fillId="2" borderId="1" xfId="1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0" fillId="0" borderId="0" xfId="0" applyFont="1"/>
    <xf numFmtId="0" fontId="0" fillId="0" borderId="1" xfId="0" applyBorder="1"/>
    <xf numFmtId="164" fontId="12" fillId="0" borderId="1" xfId="1" applyNumberFormat="1" applyFont="1" applyFill="1" applyBorder="1" applyAlignment="1">
      <alignment vertical="center" shrinkToFit="1"/>
    </xf>
    <xf numFmtId="164" fontId="13" fillId="0" borderId="1" xfId="1" applyNumberFormat="1" applyFont="1" applyFill="1" applyBorder="1" applyAlignment="1">
      <alignment vertical="center" shrinkToFit="1"/>
    </xf>
    <xf numFmtId="0" fontId="4" fillId="0" borderId="1" xfId="0" quotePrefix="1" applyFont="1" applyBorder="1" applyAlignment="1">
      <alignment horizontal="left" vertical="center"/>
    </xf>
    <xf numFmtId="164" fontId="12" fillId="0" borderId="1" xfId="1" applyNumberFormat="1" applyFont="1" applyFill="1" applyBorder="1" applyAlignment="1">
      <alignment horizontal="center" vertical="center" shrinkToFit="1"/>
    </xf>
    <xf numFmtId="10" fontId="13" fillId="0" borderId="1" xfId="1" applyNumberFormat="1" applyFont="1" applyFill="1" applyBorder="1" applyAlignment="1">
      <alignment vertical="center" shrinkToFit="1"/>
    </xf>
    <xf numFmtId="164" fontId="13" fillId="0" borderId="1" xfId="1" applyNumberFormat="1" applyFont="1" applyFill="1" applyBorder="1" applyAlignment="1">
      <alignment horizontal="center" vertical="center" shrinkToFit="1"/>
    </xf>
    <xf numFmtId="10" fontId="13" fillId="0" borderId="1" xfId="2" applyNumberFormat="1" applyFont="1" applyFill="1" applyBorder="1" applyAlignment="1">
      <alignment vertical="center" shrinkToFi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wrapText="1" indent="6"/>
    </xf>
    <xf numFmtId="0" fontId="5" fillId="0" borderId="3" xfId="0" applyFont="1" applyBorder="1" applyAlignment="1">
      <alignment horizontal="left" vertical="center" wrapText="1" indent="8"/>
    </xf>
    <xf numFmtId="0" fontId="5" fillId="0" borderId="3" xfId="0" applyFont="1" applyBorder="1" applyAlignment="1" applyProtection="1">
      <alignment horizontal="left" vertical="center" wrapText="1" indent="2"/>
      <protection locked="0"/>
    </xf>
    <xf numFmtId="0" fontId="5" fillId="0" borderId="3" xfId="0" quotePrefix="1" applyFont="1" applyBorder="1" applyAlignment="1">
      <alignment horizontal="left" vertical="center" wrapText="1" indent="2"/>
    </xf>
    <xf numFmtId="1" fontId="6" fillId="2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vertical="center" shrinkToFit="1"/>
    </xf>
    <xf numFmtId="164" fontId="13" fillId="0" borderId="4" xfId="1" applyNumberFormat="1" applyFont="1" applyFill="1" applyBorder="1" applyAlignment="1">
      <alignment vertical="center" shrinkToFit="1"/>
    </xf>
    <xf numFmtId="164" fontId="12" fillId="0" borderId="4" xfId="1" applyNumberFormat="1" applyFont="1" applyFill="1" applyBorder="1" applyAlignment="1">
      <alignment horizontal="center" vertical="center" shrinkToFit="1"/>
    </xf>
    <xf numFmtId="10" fontId="13" fillId="0" borderId="4" xfId="1" applyNumberFormat="1" applyFont="1" applyFill="1" applyBorder="1" applyAlignment="1">
      <alignment vertical="center" shrinkToFit="1"/>
    </xf>
    <xf numFmtId="164" fontId="13" fillId="0" borderId="4" xfId="1" applyNumberFormat="1" applyFont="1" applyFill="1" applyBorder="1" applyAlignment="1">
      <alignment horizontal="center" vertical="center" shrinkToFit="1"/>
    </xf>
    <xf numFmtId="10" fontId="13" fillId="0" borderId="4" xfId="2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Border="1" applyAlignment="1">
      <alignment horizontal="center" vertical="center" wrapText="1"/>
    </xf>
    <xf numFmtId="165" fontId="5" fillId="0" borderId="6" xfId="0" quotePrefix="1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Normalny 6 2" xfId="1"/>
    <cellStyle name="Procentowy" xfId="2" builtinId="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I2" sqref="I2:K2"/>
    </sheetView>
  </sheetViews>
  <sheetFormatPr defaultRowHeight="15"/>
  <cols>
    <col min="1" max="1" width="6.7109375" customWidth="1"/>
    <col min="2" max="2" width="41" customWidth="1"/>
    <col min="3" max="3" width="13.42578125" customWidth="1"/>
    <col min="4" max="11" width="12.28515625" style="9" customWidth="1"/>
    <col min="12" max="12" width="12.28515625" style="9" hidden="1" customWidth="1"/>
  </cols>
  <sheetData>
    <row r="1" spans="1:12" ht="15.75">
      <c r="B1" s="44" t="s">
        <v>178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 thickBot="1">
      <c r="A2" s="1"/>
      <c r="B2" s="2"/>
      <c r="C2" s="2"/>
      <c r="D2" s="7" t="str">
        <f>""</f>
        <v/>
      </c>
      <c r="E2" s="8"/>
      <c r="F2" s="8"/>
      <c r="G2" s="8"/>
      <c r="H2" s="8"/>
      <c r="I2" s="49"/>
      <c r="J2" s="50"/>
      <c r="K2" s="51"/>
    </row>
    <row r="3" spans="1:12" ht="19.5" customHeight="1">
      <c r="A3" s="42" t="s">
        <v>0</v>
      </c>
      <c r="B3" s="47" t="s">
        <v>1</v>
      </c>
      <c r="C3" s="52" t="s">
        <v>179</v>
      </c>
      <c r="D3" s="45" t="s">
        <v>72</v>
      </c>
      <c r="E3" s="46"/>
      <c r="F3" s="46"/>
      <c r="G3" s="46"/>
      <c r="H3" s="46"/>
      <c r="I3" s="46"/>
      <c r="J3" s="46"/>
      <c r="K3" s="46"/>
      <c r="L3" s="46"/>
    </row>
    <row r="4" spans="1:12" ht="21.75" customHeight="1">
      <c r="A4" s="43"/>
      <c r="B4" s="48"/>
      <c r="C4" s="53"/>
      <c r="D4" s="25">
        <v>2020</v>
      </c>
      <c r="E4" s="6">
        <v>2021</v>
      </c>
      <c r="F4" s="6">
        <v>2022</v>
      </c>
      <c r="G4" s="6">
        <v>2023</v>
      </c>
      <c r="H4" s="6">
        <v>2024</v>
      </c>
      <c r="I4" s="6">
        <v>2025</v>
      </c>
      <c r="J4" s="6">
        <f t="shared" ref="J4:K4" si="0">+I4+1</f>
        <v>2026</v>
      </c>
      <c r="K4" s="6">
        <f t="shared" si="0"/>
        <v>2027</v>
      </c>
      <c r="L4" s="10"/>
    </row>
    <row r="5" spans="1:12">
      <c r="A5" s="3">
        <v>1</v>
      </c>
      <c r="B5" s="18" t="s">
        <v>2</v>
      </c>
      <c r="C5" s="35">
        <f>C6+C13</f>
        <v>46192624.039999999</v>
      </c>
      <c r="D5" s="26">
        <v>85408101</v>
      </c>
      <c r="E5" s="11">
        <f>77642272</f>
        <v>77642272</v>
      </c>
      <c r="F5" s="11">
        <f>79852158</f>
        <v>79852158</v>
      </c>
      <c r="G5" s="11">
        <f>81058895</f>
        <v>81058895</v>
      </c>
      <c r="H5" s="11">
        <f>82940665</f>
        <v>82940665</v>
      </c>
      <c r="I5" s="11">
        <f>76410000</f>
        <v>76410000</v>
      </c>
      <c r="J5" s="11">
        <f>76710000</f>
        <v>76710000</v>
      </c>
      <c r="K5" s="11">
        <f>76510000</f>
        <v>76510000</v>
      </c>
      <c r="L5" s="11">
        <f>76710000</f>
        <v>76710000</v>
      </c>
    </row>
    <row r="6" spans="1:12">
      <c r="A6" s="4" t="s">
        <v>3</v>
      </c>
      <c r="B6" s="19" t="s">
        <v>74</v>
      </c>
      <c r="C6" s="34">
        <f>C7+C8+C9+C10+C11+C12</f>
        <v>42881047.93</v>
      </c>
      <c r="D6" s="27">
        <v>77281406</v>
      </c>
      <c r="E6" s="12">
        <f>74584061</f>
        <v>74584061</v>
      </c>
      <c r="F6" s="12">
        <f>75955190</f>
        <v>75955190</v>
      </c>
      <c r="G6" s="12">
        <f>77247318</f>
        <v>77247318</v>
      </c>
      <c r="H6" s="12">
        <f>78930336</f>
        <v>78930336</v>
      </c>
      <c r="I6" s="12">
        <f>76410000</f>
        <v>76410000</v>
      </c>
      <c r="J6" s="12">
        <f>76710000</f>
        <v>76710000</v>
      </c>
      <c r="K6" s="12">
        <f>76510000</f>
        <v>76510000</v>
      </c>
      <c r="L6" s="12">
        <f>76710000</f>
        <v>76710000</v>
      </c>
    </row>
    <row r="7" spans="1:12" ht="30" customHeight="1">
      <c r="A7" s="4" t="s">
        <v>4</v>
      </c>
      <c r="B7" s="20" t="s">
        <v>5</v>
      </c>
      <c r="C7" s="34">
        <v>3805594</v>
      </c>
      <c r="D7" s="27">
        <f>8894783</f>
        <v>8894783</v>
      </c>
      <c r="E7" s="12">
        <f>8898000</f>
        <v>8898000</v>
      </c>
      <c r="F7" s="12">
        <f>8900000</f>
        <v>8900000</v>
      </c>
      <c r="G7" s="12">
        <f>9000000</f>
        <v>9000000</v>
      </c>
      <c r="H7" s="12">
        <f>0</f>
        <v>0</v>
      </c>
      <c r="I7" s="12">
        <f>0</f>
        <v>0</v>
      </c>
      <c r="J7" s="12">
        <f>0</f>
        <v>0</v>
      </c>
      <c r="K7" s="12">
        <f>0</f>
        <v>0</v>
      </c>
      <c r="L7" s="12">
        <f>0</f>
        <v>0</v>
      </c>
    </row>
    <row r="8" spans="1:12" ht="27" customHeight="1">
      <c r="A8" s="4" t="s">
        <v>6</v>
      </c>
      <c r="B8" s="20" t="s">
        <v>7</v>
      </c>
      <c r="C8" s="34">
        <v>79907.39</v>
      </c>
      <c r="D8" s="27">
        <f>150000</f>
        <v>150000</v>
      </c>
      <c r="E8" s="12">
        <f>150000</f>
        <v>150000</v>
      </c>
      <c r="F8" s="12">
        <f>150000</f>
        <v>150000</v>
      </c>
      <c r="G8" s="12">
        <f>151000</f>
        <v>151000</v>
      </c>
      <c r="H8" s="12">
        <f>0</f>
        <v>0</v>
      </c>
      <c r="I8" s="12">
        <f>0</f>
        <v>0</v>
      </c>
      <c r="J8" s="12">
        <f>0</f>
        <v>0</v>
      </c>
      <c r="K8" s="12">
        <f>0</f>
        <v>0</v>
      </c>
      <c r="L8" s="12">
        <f>0</f>
        <v>0</v>
      </c>
    </row>
    <row r="9" spans="1:12">
      <c r="A9" s="4" t="s">
        <v>8</v>
      </c>
      <c r="B9" s="20" t="s">
        <v>11</v>
      </c>
      <c r="C9" s="34">
        <v>25370876</v>
      </c>
      <c r="D9" s="27">
        <f>43811246</f>
        <v>43811246</v>
      </c>
      <c r="E9" s="12">
        <f>44050000</f>
        <v>44050000</v>
      </c>
      <c r="F9" s="12">
        <f>44100000</f>
        <v>44100000</v>
      </c>
      <c r="G9" s="12">
        <f>44500000</f>
        <v>44500000</v>
      </c>
      <c r="H9" s="12">
        <f>0</f>
        <v>0</v>
      </c>
      <c r="I9" s="12">
        <f>0</f>
        <v>0</v>
      </c>
      <c r="J9" s="12">
        <f>0</f>
        <v>0</v>
      </c>
      <c r="K9" s="12">
        <f>0</f>
        <v>0</v>
      </c>
      <c r="L9" s="12">
        <f>0</f>
        <v>0</v>
      </c>
    </row>
    <row r="10" spans="1:12" ht="24">
      <c r="A10" s="4" t="s">
        <v>10</v>
      </c>
      <c r="B10" s="20" t="s">
        <v>13</v>
      </c>
      <c r="C10" s="34">
        <f>1204425.87+4102375.25+55200+1359950.4+443210+5500+73791.31+348800+723006.89</f>
        <v>8316259.7199999988</v>
      </c>
      <c r="D10" s="27">
        <v>14221016</v>
      </c>
      <c r="E10" s="12">
        <f>13400000</f>
        <v>13400000</v>
      </c>
      <c r="F10" s="12">
        <f>13500000</f>
        <v>13500000</v>
      </c>
      <c r="G10" s="12">
        <f>13600000</f>
        <v>13600000</v>
      </c>
      <c r="H10" s="12">
        <f>0</f>
        <v>0</v>
      </c>
      <c r="I10" s="12">
        <f>0</f>
        <v>0</v>
      </c>
      <c r="J10" s="12">
        <f>0</f>
        <v>0</v>
      </c>
      <c r="K10" s="12">
        <f>0</f>
        <v>0</v>
      </c>
      <c r="L10" s="12">
        <f>0</f>
        <v>0</v>
      </c>
    </row>
    <row r="11" spans="1:12">
      <c r="A11" s="4" t="s">
        <v>12</v>
      </c>
      <c r="B11" s="20" t="s">
        <v>75</v>
      </c>
      <c r="C11" s="34">
        <f>42881047.93-C7-C8-C9-C10</f>
        <v>5308410.82</v>
      </c>
      <c r="D11" s="27">
        <f>10204361</f>
        <v>10204361</v>
      </c>
      <c r="E11" s="12">
        <f>8086061</f>
        <v>8086061</v>
      </c>
      <c r="F11" s="12">
        <f>9305190</f>
        <v>9305190</v>
      </c>
      <c r="G11" s="12">
        <f>9996318</f>
        <v>9996318</v>
      </c>
      <c r="H11" s="12">
        <f>0</f>
        <v>0</v>
      </c>
      <c r="I11" s="12">
        <f>0</f>
        <v>0</v>
      </c>
      <c r="J11" s="12">
        <f>0</f>
        <v>0</v>
      </c>
      <c r="K11" s="12">
        <f>0</f>
        <v>0</v>
      </c>
      <c r="L11" s="12">
        <f>0</f>
        <v>0</v>
      </c>
    </row>
    <row r="12" spans="1:12">
      <c r="A12" s="4" t="s">
        <v>76</v>
      </c>
      <c r="B12" s="21" t="s">
        <v>9</v>
      </c>
      <c r="C12" s="34">
        <v>0</v>
      </c>
      <c r="D12" s="27">
        <f>0</f>
        <v>0</v>
      </c>
      <c r="E12" s="12">
        <f>0</f>
        <v>0</v>
      </c>
      <c r="F12" s="12">
        <f>0</f>
        <v>0</v>
      </c>
      <c r="G12" s="12">
        <f>0</f>
        <v>0</v>
      </c>
      <c r="H12" s="12">
        <f>0</f>
        <v>0</v>
      </c>
      <c r="I12" s="12">
        <f>0</f>
        <v>0</v>
      </c>
      <c r="J12" s="12">
        <f>0</f>
        <v>0</v>
      </c>
      <c r="K12" s="12">
        <f>0</f>
        <v>0</v>
      </c>
      <c r="L12" s="12">
        <f>0</f>
        <v>0</v>
      </c>
    </row>
    <row r="13" spans="1:12">
      <c r="A13" s="4" t="s">
        <v>14</v>
      </c>
      <c r="B13" s="19" t="s">
        <v>77</v>
      </c>
      <c r="C13" s="34">
        <f>C14+C15</f>
        <v>3311576.11</v>
      </c>
      <c r="D13" s="27">
        <f>8126695</f>
        <v>8126695</v>
      </c>
      <c r="E13" s="12">
        <f>3058211</f>
        <v>3058211</v>
      </c>
      <c r="F13" s="12">
        <f>3896968</f>
        <v>3896968</v>
      </c>
      <c r="G13" s="12">
        <f>3811577</f>
        <v>3811577</v>
      </c>
      <c r="H13" s="12">
        <f>4010329</f>
        <v>4010329</v>
      </c>
      <c r="I13" s="12">
        <f>0</f>
        <v>0</v>
      </c>
      <c r="J13" s="12">
        <f>0</f>
        <v>0</v>
      </c>
      <c r="K13" s="12">
        <f>0</f>
        <v>0</v>
      </c>
      <c r="L13" s="12">
        <f>0</f>
        <v>0</v>
      </c>
    </row>
    <row r="14" spans="1:12">
      <c r="A14" s="4" t="s">
        <v>15</v>
      </c>
      <c r="B14" s="20" t="s">
        <v>16</v>
      </c>
      <c r="C14" s="34">
        <f>78000+1000+8633</f>
        <v>87633</v>
      </c>
      <c r="D14" s="27">
        <f>60000</f>
        <v>60000</v>
      </c>
      <c r="E14" s="12">
        <f>0</f>
        <v>0</v>
      </c>
      <c r="F14" s="12">
        <f>0</f>
        <v>0</v>
      </c>
      <c r="G14" s="12">
        <f>0</f>
        <v>0</v>
      </c>
      <c r="H14" s="12">
        <f>0</f>
        <v>0</v>
      </c>
      <c r="I14" s="12">
        <f>0</f>
        <v>0</v>
      </c>
      <c r="J14" s="12">
        <f>0</f>
        <v>0</v>
      </c>
      <c r="K14" s="12">
        <f>0</f>
        <v>0</v>
      </c>
      <c r="L14" s="12">
        <f>0</f>
        <v>0</v>
      </c>
    </row>
    <row r="15" spans="1:12" ht="24">
      <c r="A15" s="4" t="s">
        <v>17</v>
      </c>
      <c r="B15" s="20" t="s">
        <v>18</v>
      </c>
      <c r="C15" s="34">
        <f>3311576.11-C14</f>
        <v>3223943.11</v>
      </c>
      <c r="D15" s="27">
        <f>8066695</f>
        <v>8066695</v>
      </c>
      <c r="E15" s="12">
        <f>3058211</f>
        <v>3058211</v>
      </c>
      <c r="F15" s="12">
        <f>3896968</f>
        <v>3896968</v>
      </c>
      <c r="G15" s="12">
        <f>3811577</f>
        <v>3811577</v>
      </c>
      <c r="H15" s="12">
        <f>4010329</f>
        <v>4010329</v>
      </c>
      <c r="I15" s="12">
        <f>0</f>
        <v>0</v>
      </c>
      <c r="J15" s="12">
        <f>0</f>
        <v>0</v>
      </c>
      <c r="K15" s="12">
        <f>0</f>
        <v>0</v>
      </c>
      <c r="L15" s="12">
        <f>0</f>
        <v>0</v>
      </c>
    </row>
    <row r="16" spans="1:12">
      <c r="A16" s="3">
        <v>2</v>
      </c>
      <c r="B16" s="18" t="s">
        <v>19</v>
      </c>
      <c r="C16" s="35">
        <f>C17+C24</f>
        <v>38885004.020000003</v>
      </c>
      <c r="D16" s="26">
        <v>84248101</v>
      </c>
      <c r="E16" s="11">
        <f>76419772</f>
        <v>76419772</v>
      </c>
      <c r="F16" s="11">
        <f>78629658</f>
        <v>78629658</v>
      </c>
      <c r="G16" s="11">
        <f>79836395</f>
        <v>79836395</v>
      </c>
      <c r="H16" s="11">
        <f>81718165</f>
        <v>81718165</v>
      </c>
      <c r="I16" s="11">
        <f>75700000</f>
        <v>75700000</v>
      </c>
      <c r="J16" s="11">
        <f>76000000</f>
        <v>76000000</v>
      </c>
      <c r="K16" s="11">
        <f>76300000</f>
        <v>76300000</v>
      </c>
      <c r="L16" s="11">
        <f>76000000</f>
        <v>76000000</v>
      </c>
    </row>
    <row r="17" spans="1:12">
      <c r="A17" s="4" t="s">
        <v>20</v>
      </c>
      <c r="B17" s="19" t="s">
        <v>21</v>
      </c>
      <c r="C17" s="34">
        <v>34942185.590000004</v>
      </c>
      <c r="D17" s="27">
        <v>70787601</v>
      </c>
      <c r="E17" s="12">
        <f>71331451</f>
        <v>71331451</v>
      </c>
      <c r="F17" s="12">
        <f>72758080</f>
        <v>72758080</v>
      </c>
      <c r="G17" s="12">
        <f>74213242</f>
        <v>74213242</v>
      </c>
      <c r="H17" s="12">
        <f>75697507</f>
        <v>75697507</v>
      </c>
      <c r="I17" s="12">
        <f>75700000</f>
        <v>75700000</v>
      </c>
      <c r="J17" s="12">
        <f>76000000</f>
        <v>76000000</v>
      </c>
      <c r="K17" s="12">
        <f>76300000</f>
        <v>76300000</v>
      </c>
      <c r="L17" s="12">
        <f>76000000</f>
        <v>76000000</v>
      </c>
    </row>
    <row r="18" spans="1:12">
      <c r="A18" s="4" t="s">
        <v>22</v>
      </c>
      <c r="B18" s="20" t="s">
        <v>78</v>
      </c>
      <c r="C18" s="34">
        <v>23455592.23</v>
      </c>
      <c r="D18" s="27">
        <v>45173882</v>
      </c>
      <c r="E18" s="12">
        <f>46034594</f>
        <v>46034594</v>
      </c>
      <c r="F18" s="12">
        <f>46955286</f>
        <v>46955286</v>
      </c>
      <c r="G18" s="12">
        <f>47894392</f>
        <v>47894392</v>
      </c>
      <c r="H18" s="12">
        <f>48852280</f>
        <v>48852280</v>
      </c>
      <c r="I18" s="12">
        <f>0</f>
        <v>0</v>
      </c>
      <c r="J18" s="12">
        <f>0</f>
        <v>0</v>
      </c>
      <c r="K18" s="12">
        <f>0</f>
        <v>0</v>
      </c>
      <c r="L18" s="12">
        <f>0</f>
        <v>0</v>
      </c>
    </row>
    <row r="19" spans="1:12" ht="24.75" customHeight="1">
      <c r="A19" s="4" t="s">
        <v>23</v>
      </c>
      <c r="B19" s="20" t="s">
        <v>79</v>
      </c>
      <c r="C19" s="34">
        <v>0</v>
      </c>
      <c r="D19" s="27">
        <f>0</f>
        <v>0</v>
      </c>
      <c r="E19" s="12">
        <f>0</f>
        <v>0</v>
      </c>
      <c r="F19" s="12">
        <f>0</f>
        <v>0</v>
      </c>
      <c r="G19" s="12">
        <f>0</f>
        <v>0</v>
      </c>
      <c r="H19" s="12">
        <f>0</f>
        <v>0</v>
      </c>
      <c r="I19" s="12">
        <f>0</f>
        <v>0</v>
      </c>
      <c r="J19" s="12">
        <f>0</f>
        <v>0</v>
      </c>
      <c r="K19" s="12">
        <f>0</f>
        <v>0</v>
      </c>
      <c r="L19" s="12">
        <f>0</f>
        <v>0</v>
      </c>
    </row>
    <row r="20" spans="1:12" ht="37.5" customHeight="1">
      <c r="A20" s="4" t="s">
        <v>80</v>
      </c>
      <c r="B20" s="21" t="s">
        <v>81</v>
      </c>
      <c r="C20" s="34">
        <v>0</v>
      </c>
      <c r="D20" s="27">
        <f>0</f>
        <v>0</v>
      </c>
      <c r="E20" s="12">
        <f>0</f>
        <v>0</v>
      </c>
      <c r="F20" s="12">
        <f>0</f>
        <v>0</v>
      </c>
      <c r="G20" s="12">
        <f>0</f>
        <v>0</v>
      </c>
      <c r="H20" s="12">
        <f>0</f>
        <v>0</v>
      </c>
      <c r="I20" s="12">
        <f>0</f>
        <v>0</v>
      </c>
      <c r="J20" s="12">
        <f>0</f>
        <v>0</v>
      </c>
      <c r="K20" s="12">
        <f>0</f>
        <v>0</v>
      </c>
      <c r="L20" s="12">
        <f>0</f>
        <v>0</v>
      </c>
    </row>
    <row r="21" spans="1:12" ht="21.75" customHeight="1">
      <c r="A21" s="4" t="s">
        <v>24</v>
      </c>
      <c r="B21" s="20" t="s">
        <v>25</v>
      </c>
      <c r="C21" s="34">
        <v>83021.5</v>
      </c>
      <c r="D21" s="27">
        <f>355000</f>
        <v>355000</v>
      </c>
      <c r="E21" s="12">
        <f>260800</f>
        <v>260800</v>
      </c>
      <c r="F21" s="12">
        <f>211900</f>
        <v>211900</v>
      </c>
      <c r="G21" s="12">
        <f>163000</f>
        <v>163000</v>
      </c>
      <c r="H21" s="12">
        <f>114100</f>
        <v>114100</v>
      </c>
      <c r="I21" s="12">
        <f>65200</f>
        <v>65200</v>
      </c>
      <c r="J21" s="12">
        <f>36800</f>
        <v>36800</v>
      </c>
      <c r="K21" s="12">
        <f>8400</f>
        <v>8400</v>
      </c>
      <c r="L21" s="12">
        <f>36800</f>
        <v>36800</v>
      </c>
    </row>
    <row r="22" spans="1:12" ht="97.5" customHeight="1">
      <c r="A22" s="4" t="s">
        <v>26</v>
      </c>
      <c r="B22" s="21" t="s">
        <v>27</v>
      </c>
      <c r="C22" s="34">
        <v>0</v>
      </c>
      <c r="D22" s="27">
        <f>0</f>
        <v>0</v>
      </c>
      <c r="E22" s="12">
        <f>0</f>
        <v>0</v>
      </c>
      <c r="F22" s="12">
        <f>0</f>
        <v>0</v>
      </c>
      <c r="G22" s="12">
        <f>0</f>
        <v>0</v>
      </c>
      <c r="H22" s="12">
        <f>0</f>
        <v>0</v>
      </c>
      <c r="I22" s="12">
        <f>0</f>
        <v>0</v>
      </c>
      <c r="J22" s="12">
        <f>0</f>
        <v>0</v>
      </c>
      <c r="K22" s="12">
        <f>0</f>
        <v>0</v>
      </c>
      <c r="L22" s="12">
        <f>0</f>
        <v>0</v>
      </c>
    </row>
    <row r="23" spans="1:12" ht="63" customHeight="1">
      <c r="A23" s="4" t="s">
        <v>82</v>
      </c>
      <c r="B23" s="21" t="s">
        <v>83</v>
      </c>
      <c r="C23" s="34">
        <v>0</v>
      </c>
      <c r="D23" s="27">
        <f>0</f>
        <v>0</v>
      </c>
      <c r="E23" s="12">
        <f>0</f>
        <v>0</v>
      </c>
      <c r="F23" s="12">
        <f>0</f>
        <v>0</v>
      </c>
      <c r="G23" s="12">
        <f>0</f>
        <v>0</v>
      </c>
      <c r="H23" s="12">
        <f>0</f>
        <v>0</v>
      </c>
      <c r="I23" s="12">
        <f>0</f>
        <v>0</v>
      </c>
      <c r="J23" s="12">
        <f>0</f>
        <v>0</v>
      </c>
      <c r="K23" s="12">
        <f>0</f>
        <v>0</v>
      </c>
      <c r="L23" s="12">
        <f>0</f>
        <v>0</v>
      </c>
    </row>
    <row r="24" spans="1:12">
      <c r="A24" s="4" t="s">
        <v>28</v>
      </c>
      <c r="B24" s="19" t="s">
        <v>84</v>
      </c>
      <c r="C24" s="34">
        <f>C25+C26</f>
        <v>3942818.43</v>
      </c>
      <c r="D24" s="27">
        <v>13460500</v>
      </c>
      <c r="E24" s="12">
        <f>5088321</f>
        <v>5088321</v>
      </c>
      <c r="F24" s="12">
        <f>5871578</f>
        <v>5871578</v>
      </c>
      <c r="G24" s="12">
        <f>5623153</f>
        <v>5623153</v>
      </c>
      <c r="H24" s="12">
        <f>6020658</f>
        <v>6020658</v>
      </c>
      <c r="I24" s="12">
        <f>0</f>
        <v>0</v>
      </c>
      <c r="J24" s="12">
        <f>0</f>
        <v>0</v>
      </c>
      <c r="K24" s="12">
        <f>0</f>
        <v>0</v>
      </c>
      <c r="L24" s="12">
        <f>0</f>
        <v>0</v>
      </c>
    </row>
    <row r="25" spans="1:12" ht="24">
      <c r="A25" s="4" t="s">
        <v>85</v>
      </c>
      <c r="B25" s="20" t="s">
        <v>86</v>
      </c>
      <c r="C25" s="34">
        <v>3942818.43</v>
      </c>
      <c r="D25" s="27">
        <v>13460500</v>
      </c>
      <c r="E25" s="12">
        <f>5088321</f>
        <v>5088321</v>
      </c>
      <c r="F25" s="12">
        <f>5871578</f>
        <v>5871578</v>
      </c>
      <c r="G25" s="12">
        <f>5623153</f>
        <v>5623153</v>
      </c>
      <c r="H25" s="12">
        <f>6020658</f>
        <v>6020658</v>
      </c>
      <c r="I25" s="12">
        <f>0</f>
        <v>0</v>
      </c>
      <c r="J25" s="12">
        <f>0</f>
        <v>0</v>
      </c>
      <c r="K25" s="12">
        <f>0</f>
        <v>0</v>
      </c>
      <c r="L25" s="12">
        <f>0</f>
        <v>0</v>
      </c>
    </row>
    <row r="26" spans="1:12" ht="24">
      <c r="A26" s="4" t="s">
        <v>87</v>
      </c>
      <c r="B26" s="21" t="s">
        <v>88</v>
      </c>
      <c r="C26" s="34">
        <v>0</v>
      </c>
      <c r="D26" s="27">
        <f>725485</f>
        <v>725485</v>
      </c>
      <c r="E26" s="12">
        <f>971900</f>
        <v>971900</v>
      </c>
      <c r="F26" s="12">
        <f>77641</f>
        <v>77641</v>
      </c>
      <c r="G26" s="12">
        <f>0</f>
        <v>0</v>
      </c>
      <c r="H26" s="12">
        <f>0</f>
        <v>0</v>
      </c>
      <c r="I26" s="12">
        <f>0</f>
        <v>0</v>
      </c>
      <c r="J26" s="12">
        <f>0</f>
        <v>0</v>
      </c>
      <c r="K26" s="12">
        <f>0</f>
        <v>0</v>
      </c>
      <c r="L26" s="12">
        <f>0</f>
        <v>0</v>
      </c>
    </row>
    <row r="27" spans="1:12">
      <c r="A27" s="3">
        <v>3</v>
      </c>
      <c r="B27" s="18" t="s">
        <v>29</v>
      </c>
      <c r="C27" s="35">
        <f>C5-C16</f>
        <v>7307620.0199999958</v>
      </c>
      <c r="D27" s="26">
        <f>1160000</f>
        <v>1160000</v>
      </c>
      <c r="E27" s="11">
        <f t="shared" ref="E27:H28" si="1">1222500</f>
        <v>1222500</v>
      </c>
      <c r="F27" s="11">
        <f t="shared" si="1"/>
        <v>1222500</v>
      </c>
      <c r="G27" s="11">
        <f t="shared" si="1"/>
        <v>1222500</v>
      </c>
      <c r="H27" s="11">
        <f t="shared" si="1"/>
        <v>1222500</v>
      </c>
      <c r="I27" s="11">
        <f>710000</f>
        <v>710000</v>
      </c>
      <c r="J27" s="11">
        <f>710000</f>
        <v>710000</v>
      </c>
      <c r="K27" s="11">
        <f>210000</f>
        <v>210000</v>
      </c>
      <c r="L27" s="11">
        <f>710000</f>
        <v>710000</v>
      </c>
    </row>
    <row r="28" spans="1:12" ht="36">
      <c r="A28" s="4" t="s">
        <v>89</v>
      </c>
      <c r="B28" s="19" t="s">
        <v>90</v>
      </c>
      <c r="C28" s="34">
        <v>1160000</v>
      </c>
      <c r="D28" s="27">
        <f>1160000</f>
        <v>1160000</v>
      </c>
      <c r="E28" s="12">
        <f t="shared" si="1"/>
        <v>1222500</v>
      </c>
      <c r="F28" s="12">
        <f t="shared" si="1"/>
        <v>1222500</v>
      </c>
      <c r="G28" s="12">
        <f t="shared" si="1"/>
        <v>1222500</v>
      </c>
      <c r="H28" s="12">
        <f t="shared" si="1"/>
        <v>1222500</v>
      </c>
      <c r="I28" s="12">
        <f>710000</f>
        <v>710000</v>
      </c>
      <c r="J28" s="12">
        <f>710000</f>
        <v>710000</v>
      </c>
      <c r="K28" s="12">
        <f>210000</f>
        <v>210000</v>
      </c>
      <c r="L28" s="12">
        <f>710000</f>
        <v>710000</v>
      </c>
    </row>
    <row r="29" spans="1:12">
      <c r="A29" s="3">
        <v>4</v>
      </c>
      <c r="B29" s="18" t="s">
        <v>30</v>
      </c>
      <c r="C29" s="40">
        <f>C34</f>
        <v>0</v>
      </c>
      <c r="D29" s="26">
        <f>1160000</f>
        <v>1160000</v>
      </c>
      <c r="E29" s="11">
        <f>0</f>
        <v>0</v>
      </c>
      <c r="F29" s="11">
        <f>0</f>
        <v>0</v>
      </c>
      <c r="G29" s="11">
        <f>0</f>
        <v>0</v>
      </c>
      <c r="H29" s="11">
        <f>0</f>
        <v>0</v>
      </c>
      <c r="I29" s="11">
        <f>0</f>
        <v>0</v>
      </c>
      <c r="J29" s="11">
        <f>0</f>
        <v>0</v>
      </c>
      <c r="K29" s="11">
        <f>0</f>
        <v>0</v>
      </c>
      <c r="L29" s="11">
        <f>0</f>
        <v>0</v>
      </c>
    </row>
    <row r="30" spans="1:12" ht="24">
      <c r="A30" s="4" t="s">
        <v>31</v>
      </c>
      <c r="B30" s="19" t="s">
        <v>91</v>
      </c>
      <c r="C30" s="38">
        <v>0</v>
      </c>
      <c r="D30" s="27">
        <f>0</f>
        <v>0</v>
      </c>
      <c r="E30" s="12">
        <f>0</f>
        <v>0</v>
      </c>
      <c r="F30" s="12">
        <f>0</f>
        <v>0</v>
      </c>
      <c r="G30" s="12">
        <f>0</f>
        <v>0</v>
      </c>
      <c r="H30" s="12">
        <f>0</f>
        <v>0</v>
      </c>
      <c r="I30" s="12">
        <f>0</f>
        <v>0</v>
      </c>
      <c r="J30" s="12">
        <f>0</f>
        <v>0</v>
      </c>
      <c r="K30" s="12">
        <f>0</f>
        <v>0</v>
      </c>
      <c r="L30" s="12">
        <f>0</f>
        <v>0</v>
      </c>
    </row>
    <row r="31" spans="1:12">
      <c r="A31" s="4" t="s">
        <v>32</v>
      </c>
      <c r="B31" s="20" t="s">
        <v>92</v>
      </c>
      <c r="C31" s="38">
        <v>0</v>
      </c>
      <c r="D31" s="27">
        <f>0</f>
        <v>0</v>
      </c>
      <c r="E31" s="12">
        <f>0</f>
        <v>0</v>
      </c>
      <c r="F31" s="12">
        <f>0</f>
        <v>0</v>
      </c>
      <c r="G31" s="12">
        <f>0</f>
        <v>0</v>
      </c>
      <c r="H31" s="12">
        <f>0</f>
        <v>0</v>
      </c>
      <c r="I31" s="12">
        <f>0</f>
        <v>0</v>
      </c>
      <c r="J31" s="12">
        <f>0</f>
        <v>0</v>
      </c>
      <c r="K31" s="12">
        <f>0</f>
        <v>0</v>
      </c>
      <c r="L31" s="12">
        <f>0</f>
        <v>0</v>
      </c>
    </row>
    <row r="32" spans="1:12">
      <c r="A32" s="4" t="s">
        <v>33</v>
      </c>
      <c r="B32" s="19" t="s">
        <v>93</v>
      </c>
      <c r="C32" s="38">
        <v>0</v>
      </c>
      <c r="D32" s="27">
        <f>0</f>
        <v>0</v>
      </c>
      <c r="E32" s="12">
        <f>0</f>
        <v>0</v>
      </c>
      <c r="F32" s="12">
        <f>0</f>
        <v>0</v>
      </c>
      <c r="G32" s="12">
        <f>0</f>
        <v>0</v>
      </c>
      <c r="H32" s="12">
        <f>0</f>
        <v>0</v>
      </c>
      <c r="I32" s="12">
        <f>0</f>
        <v>0</v>
      </c>
      <c r="J32" s="12">
        <f>0</f>
        <v>0</v>
      </c>
      <c r="K32" s="12">
        <f>0</f>
        <v>0</v>
      </c>
      <c r="L32" s="12">
        <f>0</f>
        <v>0</v>
      </c>
    </row>
    <row r="33" spans="1:12">
      <c r="A33" s="4" t="s">
        <v>34</v>
      </c>
      <c r="B33" s="20" t="s">
        <v>92</v>
      </c>
      <c r="C33" s="38">
        <v>0</v>
      </c>
      <c r="D33" s="27">
        <f>0</f>
        <v>0</v>
      </c>
      <c r="E33" s="12">
        <f>0</f>
        <v>0</v>
      </c>
      <c r="F33" s="12">
        <f>0</f>
        <v>0</v>
      </c>
      <c r="G33" s="12">
        <f>0</f>
        <v>0</v>
      </c>
      <c r="H33" s="12">
        <f>0</f>
        <v>0</v>
      </c>
      <c r="I33" s="12">
        <f>0</f>
        <v>0</v>
      </c>
      <c r="J33" s="12">
        <f>0</f>
        <v>0</v>
      </c>
      <c r="K33" s="12">
        <f>0</f>
        <v>0</v>
      </c>
      <c r="L33" s="12">
        <f>0</f>
        <v>0</v>
      </c>
    </row>
    <row r="34" spans="1:12" ht="24">
      <c r="A34" s="4" t="s">
        <v>35</v>
      </c>
      <c r="B34" s="19" t="s">
        <v>94</v>
      </c>
      <c r="C34" s="38">
        <v>0</v>
      </c>
      <c r="D34" s="27">
        <f>1160000</f>
        <v>1160000</v>
      </c>
      <c r="E34" s="12">
        <f>0</f>
        <v>0</v>
      </c>
      <c r="F34" s="12">
        <f>0</f>
        <v>0</v>
      </c>
      <c r="G34" s="12">
        <f>0</f>
        <v>0</v>
      </c>
      <c r="H34" s="12">
        <f>0</f>
        <v>0</v>
      </c>
      <c r="I34" s="12">
        <f>0</f>
        <v>0</v>
      </c>
      <c r="J34" s="12">
        <f>0</f>
        <v>0</v>
      </c>
      <c r="K34" s="12">
        <f>0</f>
        <v>0</v>
      </c>
      <c r="L34" s="12">
        <f>0</f>
        <v>0</v>
      </c>
    </row>
    <row r="35" spans="1:12">
      <c r="A35" s="4" t="s">
        <v>36</v>
      </c>
      <c r="B35" s="20" t="s">
        <v>92</v>
      </c>
      <c r="C35" s="38">
        <v>0</v>
      </c>
      <c r="D35" s="27">
        <f>0</f>
        <v>0</v>
      </c>
      <c r="E35" s="12">
        <f>0</f>
        <v>0</v>
      </c>
      <c r="F35" s="12">
        <f>0</f>
        <v>0</v>
      </c>
      <c r="G35" s="12">
        <f>0</f>
        <v>0</v>
      </c>
      <c r="H35" s="12">
        <f>0</f>
        <v>0</v>
      </c>
      <c r="I35" s="12">
        <f>0</f>
        <v>0</v>
      </c>
      <c r="J35" s="12">
        <f>0</f>
        <v>0</v>
      </c>
      <c r="K35" s="12">
        <f>0</f>
        <v>0</v>
      </c>
      <c r="L35" s="12">
        <f>0</f>
        <v>0</v>
      </c>
    </row>
    <row r="36" spans="1:12" ht="24">
      <c r="A36" s="4" t="s">
        <v>37</v>
      </c>
      <c r="B36" s="19" t="s">
        <v>95</v>
      </c>
      <c r="C36" s="38">
        <v>0</v>
      </c>
      <c r="D36" s="27">
        <f>0</f>
        <v>0</v>
      </c>
      <c r="E36" s="12">
        <f>0</f>
        <v>0</v>
      </c>
      <c r="F36" s="12">
        <f>0</f>
        <v>0</v>
      </c>
      <c r="G36" s="12">
        <f>0</f>
        <v>0</v>
      </c>
      <c r="H36" s="12">
        <f>0</f>
        <v>0</v>
      </c>
      <c r="I36" s="12">
        <f>0</f>
        <v>0</v>
      </c>
      <c r="J36" s="12">
        <f>0</f>
        <v>0</v>
      </c>
      <c r="K36" s="12">
        <f>0</f>
        <v>0</v>
      </c>
      <c r="L36" s="12">
        <f>0</f>
        <v>0</v>
      </c>
    </row>
    <row r="37" spans="1:12">
      <c r="A37" s="4" t="s">
        <v>38</v>
      </c>
      <c r="B37" s="20" t="s">
        <v>92</v>
      </c>
      <c r="C37" s="38">
        <v>0</v>
      </c>
      <c r="D37" s="27">
        <f>0</f>
        <v>0</v>
      </c>
      <c r="E37" s="12">
        <f>0</f>
        <v>0</v>
      </c>
      <c r="F37" s="12">
        <f>0</f>
        <v>0</v>
      </c>
      <c r="G37" s="12">
        <f>0</f>
        <v>0</v>
      </c>
      <c r="H37" s="12">
        <f>0</f>
        <v>0</v>
      </c>
      <c r="I37" s="12">
        <f>0</f>
        <v>0</v>
      </c>
      <c r="J37" s="12">
        <f>0</f>
        <v>0</v>
      </c>
      <c r="K37" s="12">
        <f>0</f>
        <v>0</v>
      </c>
      <c r="L37" s="12">
        <f>0</f>
        <v>0</v>
      </c>
    </row>
    <row r="38" spans="1:12" ht="24">
      <c r="A38" s="4" t="s">
        <v>96</v>
      </c>
      <c r="B38" s="19" t="s">
        <v>97</v>
      </c>
      <c r="C38" s="38">
        <v>0</v>
      </c>
      <c r="D38" s="27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</row>
    <row r="39" spans="1:12">
      <c r="A39" s="4" t="s">
        <v>98</v>
      </c>
      <c r="B39" s="20" t="s">
        <v>92</v>
      </c>
      <c r="C39" s="38">
        <v>0</v>
      </c>
      <c r="D39" s="27">
        <f>0</f>
        <v>0</v>
      </c>
      <c r="E39" s="12">
        <f>0</f>
        <v>0</v>
      </c>
      <c r="F39" s="12">
        <f>0</f>
        <v>0</v>
      </c>
      <c r="G39" s="12">
        <f>0</f>
        <v>0</v>
      </c>
      <c r="H39" s="12">
        <f>0</f>
        <v>0</v>
      </c>
      <c r="I39" s="12">
        <f>0</f>
        <v>0</v>
      </c>
      <c r="J39" s="12">
        <f>0</f>
        <v>0</v>
      </c>
      <c r="K39" s="12">
        <f>0</f>
        <v>0</v>
      </c>
      <c r="L39" s="12">
        <f>0</f>
        <v>0</v>
      </c>
    </row>
    <row r="40" spans="1:12">
      <c r="A40" s="3">
        <v>5</v>
      </c>
      <c r="B40" s="18" t="s">
        <v>39</v>
      </c>
      <c r="C40" s="35">
        <f>C41</f>
        <v>1256250</v>
      </c>
      <c r="D40" s="26">
        <f>2320000</f>
        <v>2320000</v>
      </c>
      <c r="E40" s="11">
        <f t="shared" ref="E40:H41" si="2">1222500</f>
        <v>1222500</v>
      </c>
      <c r="F40" s="11">
        <f t="shared" si="2"/>
        <v>1222500</v>
      </c>
      <c r="G40" s="11">
        <f t="shared" si="2"/>
        <v>1222500</v>
      </c>
      <c r="H40" s="11">
        <f t="shared" si="2"/>
        <v>1222500</v>
      </c>
      <c r="I40" s="11">
        <f>710000</f>
        <v>710000</v>
      </c>
      <c r="J40" s="11">
        <f>710000</f>
        <v>710000</v>
      </c>
      <c r="K40" s="11">
        <f>210000</f>
        <v>210000</v>
      </c>
      <c r="L40" s="11">
        <f>710000</f>
        <v>710000</v>
      </c>
    </row>
    <row r="41" spans="1:12" ht="24">
      <c r="A41" s="4" t="s">
        <v>40</v>
      </c>
      <c r="B41" s="19" t="s">
        <v>99</v>
      </c>
      <c r="C41" s="34">
        <v>1256250</v>
      </c>
      <c r="D41" s="27">
        <f>2320000</f>
        <v>2320000</v>
      </c>
      <c r="E41" s="12">
        <f t="shared" si="2"/>
        <v>1222500</v>
      </c>
      <c r="F41" s="12">
        <f t="shared" si="2"/>
        <v>1222500</v>
      </c>
      <c r="G41" s="12">
        <f t="shared" si="2"/>
        <v>1222500</v>
      </c>
      <c r="H41" s="12">
        <f t="shared" si="2"/>
        <v>1222500</v>
      </c>
      <c r="I41" s="12">
        <f>710000</f>
        <v>710000</v>
      </c>
      <c r="J41" s="12">
        <f>710000</f>
        <v>710000</v>
      </c>
      <c r="K41" s="12">
        <f>210000</f>
        <v>210000</v>
      </c>
      <c r="L41" s="12">
        <f>710000</f>
        <v>710000</v>
      </c>
    </row>
    <row r="42" spans="1:12" ht="36">
      <c r="A42" s="4" t="s">
        <v>41</v>
      </c>
      <c r="B42" s="20" t="s">
        <v>100</v>
      </c>
      <c r="C42" s="34">
        <v>0</v>
      </c>
      <c r="D42" s="27">
        <f>0</f>
        <v>0</v>
      </c>
      <c r="E42" s="12">
        <f>0</f>
        <v>0</v>
      </c>
      <c r="F42" s="12">
        <f>0</f>
        <v>0</v>
      </c>
      <c r="G42" s="12">
        <f>0</f>
        <v>0</v>
      </c>
      <c r="H42" s="12">
        <f>0</f>
        <v>0</v>
      </c>
      <c r="I42" s="12">
        <f>0</f>
        <v>0</v>
      </c>
      <c r="J42" s="12">
        <f>0</f>
        <v>0</v>
      </c>
      <c r="K42" s="12">
        <f>0</f>
        <v>0</v>
      </c>
      <c r="L42" s="12">
        <f>0</f>
        <v>0</v>
      </c>
    </row>
    <row r="43" spans="1:12" ht="36">
      <c r="A43" s="4" t="s">
        <v>42</v>
      </c>
      <c r="B43" s="21" t="s">
        <v>101</v>
      </c>
      <c r="C43" s="34">
        <v>0</v>
      </c>
      <c r="D43" s="27">
        <f>0</f>
        <v>0</v>
      </c>
      <c r="E43" s="12">
        <f>0</f>
        <v>0</v>
      </c>
      <c r="F43" s="12">
        <f>0</f>
        <v>0</v>
      </c>
      <c r="G43" s="12">
        <f>0</f>
        <v>0</v>
      </c>
      <c r="H43" s="12">
        <f>0</f>
        <v>0</v>
      </c>
      <c r="I43" s="12">
        <f>0</f>
        <v>0</v>
      </c>
      <c r="J43" s="12">
        <f>0</f>
        <v>0</v>
      </c>
      <c r="K43" s="12">
        <f>0</f>
        <v>0</v>
      </c>
      <c r="L43" s="12">
        <f>0</f>
        <v>0</v>
      </c>
    </row>
    <row r="44" spans="1:12" ht="36">
      <c r="A44" s="4" t="s">
        <v>43</v>
      </c>
      <c r="B44" s="21" t="s">
        <v>102</v>
      </c>
      <c r="C44" s="34">
        <v>0</v>
      </c>
      <c r="D44" s="27">
        <f>0</f>
        <v>0</v>
      </c>
      <c r="E44" s="12">
        <f>0</f>
        <v>0</v>
      </c>
      <c r="F44" s="12">
        <f>0</f>
        <v>0</v>
      </c>
      <c r="G44" s="12">
        <f>0</f>
        <v>0</v>
      </c>
      <c r="H44" s="12">
        <f>0</f>
        <v>0</v>
      </c>
      <c r="I44" s="12">
        <f>0</f>
        <v>0</v>
      </c>
      <c r="J44" s="12">
        <f>0</f>
        <v>0</v>
      </c>
      <c r="K44" s="12">
        <f>0</f>
        <v>0</v>
      </c>
      <c r="L44" s="12">
        <f>0</f>
        <v>0</v>
      </c>
    </row>
    <row r="45" spans="1:12" ht="36">
      <c r="A45" s="4" t="s">
        <v>44</v>
      </c>
      <c r="B45" s="21" t="s">
        <v>103</v>
      </c>
      <c r="C45" s="34">
        <v>0</v>
      </c>
      <c r="D45" s="27">
        <f>0</f>
        <v>0</v>
      </c>
      <c r="E45" s="12">
        <f>0</f>
        <v>0</v>
      </c>
      <c r="F45" s="12">
        <f>0</f>
        <v>0</v>
      </c>
      <c r="G45" s="12">
        <f>0</f>
        <v>0</v>
      </c>
      <c r="H45" s="12">
        <f>0</f>
        <v>0</v>
      </c>
      <c r="I45" s="12">
        <f>0</f>
        <v>0</v>
      </c>
      <c r="J45" s="12">
        <f>0</f>
        <v>0</v>
      </c>
      <c r="K45" s="12">
        <f>0</f>
        <v>0</v>
      </c>
      <c r="L45" s="12">
        <f>0</f>
        <v>0</v>
      </c>
    </row>
    <row r="46" spans="1:12">
      <c r="A46" s="4" t="s">
        <v>104</v>
      </c>
      <c r="B46" s="22" t="s">
        <v>105</v>
      </c>
      <c r="C46" s="34">
        <v>0</v>
      </c>
      <c r="D46" s="27">
        <f>0</f>
        <v>0</v>
      </c>
      <c r="E46" s="12">
        <f>0</f>
        <v>0</v>
      </c>
      <c r="F46" s="12">
        <f>0</f>
        <v>0</v>
      </c>
      <c r="G46" s="12">
        <f>0</f>
        <v>0</v>
      </c>
      <c r="H46" s="12">
        <f>0</f>
        <v>0</v>
      </c>
      <c r="I46" s="12">
        <f>0</f>
        <v>0</v>
      </c>
      <c r="J46" s="12">
        <f>0</f>
        <v>0</v>
      </c>
      <c r="K46" s="12">
        <f>0</f>
        <v>0</v>
      </c>
      <c r="L46" s="12">
        <f>0</f>
        <v>0</v>
      </c>
    </row>
    <row r="47" spans="1:12" ht="34.5" customHeight="1">
      <c r="A47" s="4" t="s">
        <v>106</v>
      </c>
      <c r="B47" s="22" t="s">
        <v>107</v>
      </c>
      <c r="C47" s="34">
        <v>0</v>
      </c>
      <c r="D47" s="27">
        <f>0</f>
        <v>0</v>
      </c>
      <c r="E47" s="12">
        <f>0</f>
        <v>0</v>
      </c>
      <c r="F47" s="12">
        <f>0</f>
        <v>0</v>
      </c>
      <c r="G47" s="12">
        <f>0</f>
        <v>0</v>
      </c>
      <c r="H47" s="12">
        <f>0</f>
        <v>0</v>
      </c>
      <c r="I47" s="12">
        <f>0</f>
        <v>0</v>
      </c>
      <c r="J47" s="12">
        <f>0</f>
        <v>0</v>
      </c>
      <c r="K47" s="12">
        <f>0</f>
        <v>0</v>
      </c>
      <c r="L47" s="12">
        <f>0</f>
        <v>0</v>
      </c>
    </row>
    <row r="48" spans="1:12" ht="21" customHeight="1">
      <c r="A48" s="4" t="s">
        <v>108</v>
      </c>
      <c r="B48" s="22" t="s">
        <v>109</v>
      </c>
      <c r="C48" s="34">
        <v>0</v>
      </c>
      <c r="D48" s="27">
        <f>0</f>
        <v>0</v>
      </c>
      <c r="E48" s="12">
        <f>0</f>
        <v>0</v>
      </c>
      <c r="F48" s="12">
        <f>0</f>
        <v>0</v>
      </c>
      <c r="G48" s="12">
        <f>0</f>
        <v>0</v>
      </c>
      <c r="H48" s="12">
        <f>0</f>
        <v>0</v>
      </c>
      <c r="I48" s="12">
        <f>0</f>
        <v>0</v>
      </c>
      <c r="J48" s="12">
        <f>0</f>
        <v>0</v>
      </c>
      <c r="K48" s="12">
        <f>0</f>
        <v>0</v>
      </c>
      <c r="L48" s="12">
        <f>0</f>
        <v>0</v>
      </c>
    </row>
    <row r="49" spans="1:12" ht="19.5" customHeight="1">
      <c r="A49" s="4" t="s">
        <v>45</v>
      </c>
      <c r="B49" s="19" t="s">
        <v>110</v>
      </c>
      <c r="C49" s="34">
        <v>0</v>
      </c>
      <c r="D49" s="27">
        <f>0</f>
        <v>0</v>
      </c>
      <c r="E49" s="12">
        <f>0</f>
        <v>0</v>
      </c>
      <c r="F49" s="12">
        <f>0</f>
        <v>0</v>
      </c>
      <c r="G49" s="12">
        <f>0</f>
        <v>0</v>
      </c>
      <c r="H49" s="12">
        <f>0</f>
        <v>0</v>
      </c>
      <c r="I49" s="12">
        <f>0</f>
        <v>0</v>
      </c>
      <c r="J49" s="12">
        <f>0</f>
        <v>0</v>
      </c>
      <c r="K49" s="12">
        <f>0</f>
        <v>0</v>
      </c>
      <c r="L49" s="12">
        <f>0</f>
        <v>0</v>
      </c>
    </row>
    <row r="50" spans="1:12" ht="26.25" customHeight="1">
      <c r="A50" s="13" t="s">
        <v>111</v>
      </c>
      <c r="B50" s="18" t="s">
        <v>112</v>
      </c>
      <c r="C50" s="35">
        <f>D50+D40-C40</f>
        <v>7583750</v>
      </c>
      <c r="D50" s="26">
        <f>6520000</f>
        <v>6520000</v>
      </c>
      <c r="E50" s="11">
        <f>5297500</f>
        <v>5297500</v>
      </c>
      <c r="F50" s="11">
        <f>4075000</f>
        <v>4075000</v>
      </c>
      <c r="G50" s="11">
        <f>2852500</f>
        <v>2852500</v>
      </c>
      <c r="H50" s="11">
        <f>1630000</f>
        <v>1630000</v>
      </c>
      <c r="I50" s="11">
        <f>920000</f>
        <v>920000</v>
      </c>
      <c r="J50" s="11">
        <f>210000</f>
        <v>210000</v>
      </c>
      <c r="K50" s="11">
        <f>0</f>
        <v>0</v>
      </c>
      <c r="L50" s="11">
        <f>210000</f>
        <v>210000</v>
      </c>
    </row>
    <row r="51" spans="1:12" ht="26.25" customHeight="1">
      <c r="A51" s="4" t="s">
        <v>113</v>
      </c>
      <c r="B51" s="19" t="s">
        <v>114</v>
      </c>
      <c r="C51" s="34">
        <v>0</v>
      </c>
      <c r="D51" s="27">
        <f>0</f>
        <v>0</v>
      </c>
      <c r="E51" s="12">
        <f>0</f>
        <v>0</v>
      </c>
      <c r="F51" s="12">
        <f>0</f>
        <v>0</v>
      </c>
      <c r="G51" s="12">
        <f>0</f>
        <v>0</v>
      </c>
      <c r="H51" s="12">
        <f>0</f>
        <v>0</v>
      </c>
      <c r="I51" s="12">
        <f>0</f>
        <v>0</v>
      </c>
      <c r="J51" s="12">
        <f>0</f>
        <v>0</v>
      </c>
      <c r="K51" s="12">
        <f>0</f>
        <v>0</v>
      </c>
      <c r="L51" s="12">
        <f>0</f>
        <v>0</v>
      </c>
    </row>
    <row r="52" spans="1:12" ht="29.25" customHeight="1">
      <c r="A52" s="3">
        <v>7</v>
      </c>
      <c r="B52" s="18" t="s">
        <v>46</v>
      </c>
      <c r="C52" s="33" t="s">
        <v>47</v>
      </c>
      <c r="D52" s="28" t="s">
        <v>47</v>
      </c>
      <c r="E52" s="14" t="s">
        <v>47</v>
      </c>
      <c r="F52" s="14" t="s">
        <v>47</v>
      </c>
      <c r="G52" s="14" t="s">
        <v>47</v>
      </c>
      <c r="H52" s="14" t="s">
        <v>47</v>
      </c>
      <c r="I52" s="14" t="s">
        <v>47</v>
      </c>
      <c r="J52" s="14" t="s">
        <v>47</v>
      </c>
      <c r="K52" s="14" t="s">
        <v>47</v>
      </c>
      <c r="L52" s="14" t="s">
        <v>47</v>
      </c>
    </row>
    <row r="53" spans="1:12" ht="24">
      <c r="A53" s="5" t="s">
        <v>115</v>
      </c>
      <c r="B53" s="23" t="s">
        <v>116</v>
      </c>
      <c r="C53" s="39">
        <f>C6-C17</f>
        <v>7938862.3399999961</v>
      </c>
      <c r="D53" s="27">
        <f>D6-D17</f>
        <v>6493805</v>
      </c>
      <c r="E53" s="12">
        <f>3252610</f>
        <v>3252610</v>
      </c>
      <c r="F53" s="12">
        <f>3197110</f>
        <v>3197110</v>
      </c>
      <c r="G53" s="12">
        <f>3034076</f>
        <v>3034076</v>
      </c>
      <c r="H53" s="12">
        <f>3232829</f>
        <v>3232829</v>
      </c>
      <c r="I53" s="12">
        <f>710000</f>
        <v>710000</v>
      </c>
      <c r="J53" s="12">
        <f>710000</f>
        <v>710000</v>
      </c>
      <c r="K53" s="12">
        <f>210000</f>
        <v>210000</v>
      </c>
      <c r="L53" s="12">
        <f>710000</f>
        <v>710000</v>
      </c>
    </row>
    <row r="54" spans="1:12" ht="32.25" customHeight="1">
      <c r="A54" s="4" t="s">
        <v>117</v>
      </c>
      <c r="B54" s="19" t="s">
        <v>118</v>
      </c>
      <c r="C54" s="34">
        <f>C53</f>
        <v>7938862.3399999961</v>
      </c>
      <c r="D54" s="27">
        <f>D6-D17+D28</f>
        <v>7653805</v>
      </c>
      <c r="E54" s="12">
        <f>3252610</f>
        <v>3252610</v>
      </c>
      <c r="F54" s="12">
        <f>3197110</f>
        <v>3197110</v>
      </c>
      <c r="G54" s="12">
        <f>3034076</f>
        <v>3034076</v>
      </c>
      <c r="H54" s="12">
        <f>3232829</f>
        <v>3232829</v>
      </c>
      <c r="I54" s="12">
        <f>710000</f>
        <v>710000</v>
      </c>
      <c r="J54" s="12">
        <f>710000</f>
        <v>710000</v>
      </c>
      <c r="K54" s="12">
        <f>210000</f>
        <v>210000</v>
      </c>
      <c r="L54" s="12">
        <f>710000</f>
        <v>710000</v>
      </c>
    </row>
    <row r="55" spans="1:12" ht="20.25" customHeight="1">
      <c r="A55" s="3">
        <v>8</v>
      </c>
      <c r="B55" s="18" t="s">
        <v>50</v>
      </c>
      <c r="C55" s="33" t="s">
        <v>47</v>
      </c>
      <c r="D55" s="28" t="s">
        <v>47</v>
      </c>
      <c r="E55" s="14" t="s">
        <v>47</v>
      </c>
      <c r="F55" s="14" t="s">
        <v>47</v>
      </c>
      <c r="G55" s="14" t="s">
        <v>47</v>
      </c>
      <c r="H55" s="14" t="s">
        <v>47</v>
      </c>
      <c r="I55" s="14" t="s">
        <v>47</v>
      </c>
      <c r="J55" s="14" t="s">
        <v>47</v>
      </c>
      <c r="K55" s="14" t="s">
        <v>47</v>
      </c>
      <c r="L55" s="14" t="s">
        <v>47</v>
      </c>
    </row>
    <row r="56" spans="1:12" ht="72" customHeight="1">
      <c r="A56" s="4" t="s">
        <v>48</v>
      </c>
      <c r="B56" s="19" t="s">
        <v>119</v>
      </c>
      <c r="C56" s="32" t="s">
        <v>47</v>
      </c>
      <c r="D56" s="29">
        <f>0.0424</f>
        <v>4.24E-2</v>
      </c>
      <c r="E56" s="15">
        <f>0.0242</f>
        <v>2.4199999999999999E-2</v>
      </c>
      <c r="F56" s="15">
        <f>0.023</f>
        <v>2.3E-2</v>
      </c>
      <c r="G56" s="15">
        <f>0.0218</f>
        <v>2.18E-2</v>
      </c>
      <c r="H56" s="15">
        <f>0.0169</f>
        <v>1.6899999999999998E-2</v>
      </c>
      <c r="I56" s="15">
        <f>0.0101</f>
        <v>1.01E-2</v>
      </c>
      <c r="J56" s="15">
        <f>0.0097</f>
        <v>9.7000000000000003E-3</v>
      </c>
      <c r="K56" s="15">
        <f>0.0029</f>
        <v>2.8999999999999998E-3</v>
      </c>
      <c r="L56" s="15">
        <f>0.0097</f>
        <v>9.7000000000000003E-3</v>
      </c>
    </row>
    <row r="57" spans="1:12" ht="36">
      <c r="A57" s="4" t="s">
        <v>49</v>
      </c>
      <c r="B57" s="19" t="s">
        <v>120</v>
      </c>
      <c r="C57" s="32" t="s">
        <v>47</v>
      </c>
      <c r="D57" s="29">
        <f>0.1099</f>
        <v>0.1099</v>
      </c>
      <c r="E57" s="15">
        <f>0.0604</f>
        <v>6.0400000000000002E-2</v>
      </c>
      <c r="F57" s="15">
        <f>0.0583</f>
        <v>5.8299999999999998E-2</v>
      </c>
      <c r="G57" s="15">
        <f>0.0502</f>
        <v>5.0200000000000002E-2</v>
      </c>
      <c r="H57" s="15">
        <f>0.0424</f>
        <v>4.24E-2</v>
      </c>
      <c r="I57" s="15">
        <f>0.0101</f>
        <v>1.01E-2</v>
      </c>
      <c r="J57" s="15">
        <f>0.0097</f>
        <v>9.7000000000000003E-3</v>
      </c>
      <c r="K57" s="15">
        <f>0.0029</f>
        <v>2.8999999999999998E-3</v>
      </c>
      <c r="L57" s="15">
        <f>0.0097</f>
        <v>9.7000000000000003E-3</v>
      </c>
    </row>
    <row r="58" spans="1:12" ht="84">
      <c r="A58" s="4" t="s">
        <v>121</v>
      </c>
      <c r="B58" s="19" t="s">
        <v>122</v>
      </c>
      <c r="C58" s="32" t="s">
        <v>47</v>
      </c>
      <c r="D58" s="29">
        <f>0.0933</f>
        <v>9.3299999999999994E-2</v>
      </c>
      <c r="E58" s="15">
        <f>0.0966</f>
        <v>9.6600000000000005E-2</v>
      </c>
      <c r="F58" s="15">
        <f>0.0914</f>
        <v>9.1399999999999995E-2</v>
      </c>
      <c r="G58" s="15">
        <f>0.0765</f>
        <v>7.6499999999999999E-2</v>
      </c>
      <c r="H58" s="15">
        <f>0.0563</f>
        <v>5.6300000000000003E-2</v>
      </c>
      <c r="I58" s="15">
        <f>0.0503</f>
        <v>5.0299999999999997E-2</v>
      </c>
      <c r="J58" s="15">
        <f>0.062</f>
        <v>6.2E-2</v>
      </c>
      <c r="K58" s="15">
        <f>0.0487</f>
        <v>4.87E-2</v>
      </c>
      <c r="L58" s="15">
        <f>0.062</f>
        <v>6.2E-2</v>
      </c>
    </row>
    <row r="59" spans="1:12" ht="93.75" customHeight="1">
      <c r="A59" s="4" t="s">
        <v>123</v>
      </c>
      <c r="B59" s="20" t="s">
        <v>124</v>
      </c>
      <c r="C59" s="32" t="s">
        <v>47</v>
      </c>
      <c r="D59" s="29">
        <f>0.0954</f>
        <v>9.5399999999999999E-2</v>
      </c>
      <c r="E59" s="15">
        <f>0.0987</f>
        <v>9.8699999999999996E-2</v>
      </c>
      <c r="F59" s="15">
        <f>0.0935</f>
        <v>9.35E-2</v>
      </c>
      <c r="G59" s="15">
        <f>0.0765</f>
        <v>7.6499999999999999E-2</v>
      </c>
      <c r="H59" s="15">
        <f>0.0563</f>
        <v>5.6300000000000003E-2</v>
      </c>
      <c r="I59" s="15">
        <f>0.0503</f>
        <v>5.0299999999999997E-2</v>
      </c>
      <c r="J59" s="15">
        <f>0.0626</f>
        <v>6.2600000000000003E-2</v>
      </c>
      <c r="K59" s="15">
        <f>0.0487</f>
        <v>4.87E-2</v>
      </c>
      <c r="L59" s="15">
        <f>0.0626</f>
        <v>6.2600000000000003E-2</v>
      </c>
    </row>
    <row r="60" spans="1:12" ht="84">
      <c r="A60" s="4" t="s">
        <v>125</v>
      </c>
      <c r="B60" s="19" t="s">
        <v>56</v>
      </c>
      <c r="C60" s="32" t="s">
        <v>47</v>
      </c>
      <c r="D60" s="30" t="str">
        <f t="shared" ref="D60:L60" si="3">IF(D56&lt;=D58,"Spełniona","Nie spełniona")</f>
        <v>Spełniona</v>
      </c>
      <c r="E60" s="16" t="str">
        <f t="shared" si="3"/>
        <v>Spełniona</v>
      </c>
      <c r="F60" s="16" t="str">
        <f t="shared" si="3"/>
        <v>Spełniona</v>
      </c>
      <c r="G60" s="16" t="str">
        <f t="shared" si="3"/>
        <v>Spełniona</v>
      </c>
      <c r="H60" s="16" t="str">
        <f t="shared" si="3"/>
        <v>Spełniona</v>
      </c>
      <c r="I60" s="16" t="str">
        <f t="shared" si="3"/>
        <v>Spełniona</v>
      </c>
      <c r="J60" s="16" t="str">
        <f t="shared" si="3"/>
        <v>Spełniona</v>
      </c>
      <c r="K60" s="16" t="str">
        <f t="shared" si="3"/>
        <v>Spełniona</v>
      </c>
      <c r="L60" s="16" t="str">
        <f t="shared" si="3"/>
        <v>Spełniona</v>
      </c>
    </row>
    <row r="61" spans="1:12" ht="96">
      <c r="A61" s="4" t="s">
        <v>126</v>
      </c>
      <c r="B61" s="20" t="s">
        <v>57</v>
      </c>
      <c r="C61" s="32" t="s">
        <v>47</v>
      </c>
      <c r="D61" s="30" t="str">
        <f t="shared" ref="D61:L61" si="4">IF(D56&lt;=D59,"Spełniona","Nie spełniona")</f>
        <v>Spełniona</v>
      </c>
      <c r="E61" s="16" t="str">
        <f t="shared" si="4"/>
        <v>Spełniona</v>
      </c>
      <c r="F61" s="16" t="str">
        <f t="shared" si="4"/>
        <v>Spełniona</v>
      </c>
      <c r="G61" s="16" t="str">
        <f t="shared" si="4"/>
        <v>Spełniona</v>
      </c>
      <c r="H61" s="16" t="str">
        <f t="shared" si="4"/>
        <v>Spełniona</v>
      </c>
      <c r="I61" s="16" t="str">
        <f t="shared" si="4"/>
        <v>Spełniona</v>
      </c>
      <c r="J61" s="16" t="str">
        <f t="shared" si="4"/>
        <v>Spełniona</v>
      </c>
      <c r="K61" s="16" t="str">
        <f t="shared" si="4"/>
        <v>Spełniona</v>
      </c>
      <c r="L61" s="16" t="str">
        <f t="shared" si="4"/>
        <v>Spełniona</v>
      </c>
    </row>
    <row r="62" spans="1:12" ht="36">
      <c r="A62" s="3">
        <v>9</v>
      </c>
      <c r="B62" s="18" t="s">
        <v>63</v>
      </c>
      <c r="C62" s="33" t="s">
        <v>47</v>
      </c>
      <c r="D62" s="28" t="s">
        <v>47</v>
      </c>
      <c r="E62" s="14" t="s">
        <v>47</v>
      </c>
      <c r="F62" s="14" t="s">
        <v>47</v>
      </c>
      <c r="G62" s="14" t="s">
        <v>47</v>
      </c>
      <c r="H62" s="14" t="s">
        <v>47</v>
      </c>
      <c r="I62" s="14" t="s">
        <v>47</v>
      </c>
      <c r="J62" s="14" t="s">
        <v>47</v>
      </c>
      <c r="K62" s="14" t="s">
        <v>47</v>
      </c>
      <c r="L62" s="14" t="s">
        <v>47</v>
      </c>
    </row>
    <row r="63" spans="1:12" ht="36">
      <c r="A63" s="4" t="s">
        <v>51</v>
      </c>
      <c r="B63" s="19" t="s">
        <v>127</v>
      </c>
      <c r="C63" s="34">
        <v>1204425.8700000001</v>
      </c>
      <c r="D63" s="27">
        <f>1807416</f>
        <v>1807416</v>
      </c>
      <c r="E63" s="12">
        <f>2271840</f>
        <v>2271840</v>
      </c>
      <c r="F63" s="12">
        <f>1124357</f>
        <v>1124357</v>
      </c>
      <c r="G63" s="12">
        <f>0</f>
        <v>0</v>
      </c>
      <c r="H63" s="12">
        <f>0</f>
        <v>0</v>
      </c>
      <c r="I63" s="12">
        <f>0</f>
        <v>0</v>
      </c>
      <c r="J63" s="12">
        <f>0</f>
        <v>0</v>
      </c>
      <c r="K63" s="12">
        <f>0</f>
        <v>0</v>
      </c>
      <c r="L63" s="12">
        <f>0</f>
        <v>0</v>
      </c>
    </row>
    <row r="64" spans="1:12" ht="48">
      <c r="A64" s="4" t="s">
        <v>128</v>
      </c>
      <c r="B64" s="20" t="s">
        <v>129</v>
      </c>
      <c r="C64" s="34">
        <v>1204425.8700000001</v>
      </c>
      <c r="D64" s="27">
        <f>1807416</f>
        <v>1807416</v>
      </c>
      <c r="E64" s="12">
        <f>2271840</f>
        <v>2271840</v>
      </c>
      <c r="F64" s="12">
        <f>1124357</f>
        <v>1124357</v>
      </c>
      <c r="G64" s="12">
        <f>0</f>
        <v>0</v>
      </c>
      <c r="H64" s="12">
        <f>0</f>
        <v>0</v>
      </c>
      <c r="I64" s="12">
        <f>0</f>
        <v>0</v>
      </c>
      <c r="J64" s="12">
        <f>0</f>
        <v>0</v>
      </c>
      <c r="K64" s="12">
        <f>0</f>
        <v>0</v>
      </c>
      <c r="L64" s="12">
        <f>0</f>
        <v>0</v>
      </c>
    </row>
    <row r="65" spans="1:12">
      <c r="A65" s="4" t="s">
        <v>130</v>
      </c>
      <c r="B65" s="21" t="s">
        <v>131</v>
      </c>
      <c r="C65" s="34">
        <f>1090380.79+80000</f>
        <v>1170380.79</v>
      </c>
      <c r="D65" s="27">
        <f>1713584</f>
        <v>1713584</v>
      </c>
      <c r="E65" s="12">
        <f>2135341</f>
        <v>2135341</v>
      </c>
      <c r="F65" s="12">
        <f>1077073</f>
        <v>1077073</v>
      </c>
      <c r="G65" s="12">
        <f>0</f>
        <v>0</v>
      </c>
      <c r="H65" s="12">
        <f>0</f>
        <v>0</v>
      </c>
      <c r="I65" s="12">
        <f>0</f>
        <v>0</v>
      </c>
      <c r="J65" s="12">
        <f>0</f>
        <v>0</v>
      </c>
      <c r="K65" s="12">
        <f>0</f>
        <v>0</v>
      </c>
      <c r="L65" s="12">
        <f>0</f>
        <v>0</v>
      </c>
    </row>
    <row r="66" spans="1:12" ht="44.25" customHeight="1">
      <c r="A66" s="4" t="s">
        <v>52</v>
      </c>
      <c r="B66" s="19" t="s">
        <v>132</v>
      </c>
      <c r="C66" s="34">
        <v>3154943.11</v>
      </c>
      <c r="D66" s="27">
        <f>4233634</f>
        <v>4233634</v>
      </c>
      <c r="E66" s="12">
        <f>0</f>
        <v>0</v>
      </c>
      <c r="F66" s="12">
        <f>0</f>
        <v>0</v>
      </c>
      <c r="G66" s="12">
        <f>0</f>
        <v>0</v>
      </c>
      <c r="H66" s="12">
        <f>0</f>
        <v>0</v>
      </c>
      <c r="I66" s="12">
        <f>0</f>
        <v>0</v>
      </c>
      <c r="J66" s="12">
        <f>0</f>
        <v>0</v>
      </c>
      <c r="K66" s="12">
        <f>0</f>
        <v>0</v>
      </c>
      <c r="L66" s="12">
        <f>0</f>
        <v>0</v>
      </c>
    </row>
    <row r="67" spans="1:12" ht="48">
      <c r="A67" s="4" t="s">
        <v>133</v>
      </c>
      <c r="B67" s="20" t="s">
        <v>134</v>
      </c>
      <c r="C67" s="34">
        <v>3154943.11</v>
      </c>
      <c r="D67" s="27">
        <f>4233634</f>
        <v>4233634</v>
      </c>
      <c r="E67" s="12">
        <f>0</f>
        <v>0</v>
      </c>
      <c r="F67" s="12">
        <f>0</f>
        <v>0</v>
      </c>
      <c r="G67" s="12">
        <f>0</f>
        <v>0</v>
      </c>
      <c r="H67" s="12">
        <f>0</f>
        <v>0</v>
      </c>
      <c r="I67" s="12">
        <f>0</f>
        <v>0</v>
      </c>
      <c r="J67" s="12">
        <f>0</f>
        <v>0</v>
      </c>
      <c r="K67" s="12">
        <f>0</f>
        <v>0</v>
      </c>
      <c r="L67" s="12">
        <f>0</f>
        <v>0</v>
      </c>
    </row>
    <row r="68" spans="1:12" ht="24.75" customHeight="1">
      <c r="A68" s="4" t="s">
        <v>135</v>
      </c>
      <c r="B68" s="21" t="s">
        <v>131</v>
      </c>
      <c r="C68" s="34">
        <v>3154943.11</v>
      </c>
      <c r="D68" s="27">
        <v>4233634</v>
      </c>
      <c r="E68" s="12">
        <f>0</f>
        <v>0</v>
      </c>
      <c r="F68" s="12">
        <f>0</f>
        <v>0</v>
      </c>
      <c r="G68" s="12">
        <f>0</f>
        <v>0</v>
      </c>
      <c r="H68" s="12">
        <f>0</f>
        <v>0</v>
      </c>
      <c r="I68" s="12">
        <f>0</f>
        <v>0</v>
      </c>
      <c r="J68" s="12">
        <f>0</f>
        <v>0</v>
      </c>
      <c r="K68" s="12">
        <f>0</f>
        <v>0</v>
      </c>
      <c r="L68" s="12">
        <f>0</f>
        <v>0</v>
      </c>
    </row>
    <row r="69" spans="1:12" ht="36">
      <c r="A69" s="4" t="s">
        <v>53</v>
      </c>
      <c r="B69" s="19" t="s">
        <v>67</v>
      </c>
      <c r="C69" s="34">
        <v>422820.4</v>
      </c>
      <c r="D69" s="27">
        <f>1971027</f>
        <v>1971027</v>
      </c>
      <c r="E69" s="12">
        <f>2454345</f>
        <v>2454345</v>
      </c>
      <c r="F69" s="12">
        <f>1353822</f>
        <v>1353822</v>
      </c>
      <c r="G69" s="12">
        <f>0</f>
        <v>0</v>
      </c>
      <c r="H69" s="12">
        <f>0</f>
        <v>0</v>
      </c>
      <c r="I69" s="12">
        <f>0</f>
        <v>0</v>
      </c>
      <c r="J69" s="12">
        <f>0</f>
        <v>0</v>
      </c>
      <c r="K69" s="12">
        <f>0</f>
        <v>0</v>
      </c>
      <c r="L69" s="12">
        <f>0</f>
        <v>0</v>
      </c>
    </row>
    <row r="70" spans="1:12" ht="48">
      <c r="A70" s="4" t="s">
        <v>136</v>
      </c>
      <c r="B70" s="20" t="s">
        <v>137</v>
      </c>
      <c r="C70" s="34">
        <v>422820.4</v>
      </c>
      <c r="D70" s="27">
        <f>1971027</f>
        <v>1971027</v>
      </c>
      <c r="E70" s="12">
        <f>2454345</f>
        <v>2454345</v>
      </c>
      <c r="F70" s="12">
        <f>1353822</f>
        <v>1353822</v>
      </c>
      <c r="G70" s="12">
        <f>0</f>
        <v>0</v>
      </c>
      <c r="H70" s="12">
        <f>0</f>
        <v>0</v>
      </c>
      <c r="I70" s="12">
        <f>0</f>
        <v>0</v>
      </c>
      <c r="J70" s="12">
        <f>0</f>
        <v>0</v>
      </c>
      <c r="K70" s="12">
        <f>0</f>
        <v>0</v>
      </c>
      <c r="L70" s="12">
        <f>0</f>
        <v>0</v>
      </c>
    </row>
    <row r="71" spans="1:12" ht="31.5" customHeight="1">
      <c r="A71" s="4" t="s">
        <v>138</v>
      </c>
      <c r="B71" s="21" t="s">
        <v>139</v>
      </c>
      <c r="C71" s="34">
        <v>345458.28</v>
      </c>
      <c r="D71" s="27">
        <f>1713584</f>
        <v>1713584</v>
      </c>
      <c r="E71" s="12">
        <f>2135341</f>
        <v>2135341</v>
      </c>
      <c r="F71" s="12">
        <f>1077073</f>
        <v>1077073</v>
      </c>
      <c r="G71" s="12">
        <f>0</f>
        <v>0</v>
      </c>
      <c r="H71" s="12">
        <f>0</f>
        <v>0</v>
      </c>
      <c r="I71" s="12">
        <f>0</f>
        <v>0</v>
      </c>
      <c r="J71" s="12">
        <f>0</f>
        <v>0</v>
      </c>
      <c r="K71" s="12">
        <f>0</f>
        <v>0</v>
      </c>
      <c r="L71" s="12">
        <f>0</f>
        <v>0</v>
      </c>
    </row>
    <row r="72" spans="1:12" ht="42.75" customHeight="1">
      <c r="A72" s="4" t="s">
        <v>55</v>
      </c>
      <c r="B72" s="19" t="s">
        <v>68</v>
      </c>
      <c r="C72" s="34">
        <v>3495208.69</v>
      </c>
      <c r="D72" s="27">
        <f>6120578</f>
        <v>6120578</v>
      </c>
      <c r="E72" s="12">
        <f>18900</f>
        <v>18900</v>
      </c>
      <c r="F72" s="12">
        <f>77641</f>
        <v>77641</v>
      </c>
      <c r="G72" s="12">
        <f>0</f>
        <v>0</v>
      </c>
      <c r="H72" s="12">
        <f>0</f>
        <v>0</v>
      </c>
      <c r="I72" s="12">
        <f>0</f>
        <v>0</v>
      </c>
      <c r="J72" s="12">
        <f>0</f>
        <v>0</v>
      </c>
      <c r="K72" s="12">
        <f>0</f>
        <v>0</v>
      </c>
      <c r="L72" s="12">
        <f>0</f>
        <v>0</v>
      </c>
    </row>
    <row r="73" spans="1:12" ht="45" customHeight="1">
      <c r="A73" s="4" t="s">
        <v>140</v>
      </c>
      <c r="B73" s="20" t="s">
        <v>141</v>
      </c>
      <c r="C73" s="34">
        <v>3495208.69</v>
      </c>
      <c r="D73" s="27">
        <f>6120578</f>
        <v>6120578</v>
      </c>
      <c r="E73" s="12">
        <f>18900</f>
        <v>18900</v>
      </c>
      <c r="F73" s="12">
        <f>77641</f>
        <v>77641</v>
      </c>
      <c r="G73" s="12">
        <f>0</f>
        <v>0</v>
      </c>
      <c r="H73" s="12">
        <f>0</f>
        <v>0</v>
      </c>
      <c r="I73" s="12">
        <f>0</f>
        <v>0</v>
      </c>
      <c r="J73" s="12">
        <f>0</f>
        <v>0</v>
      </c>
      <c r="K73" s="12">
        <f>0</f>
        <v>0</v>
      </c>
      <c r="L73" s="12">
        <f>0</f>
        <v>0</v>
      </c>
    </row>
    <row r="74" spans="1:12" ht="34.5" customHeight="1">
      <c r="A74" s="4" t="s">
        <v>142</v>
      </c>
      <c r="B74" s="21" t="s">
        <v>139</v>
      </c>
      <c r="C74" s="34">
        <v>2379516.14</v>
      </c>
      <c r="D74" s="27">
        <v>4213634</v>
      </c>
      <c r="E74" s="12">
        <f>0</f>
        <v>0</v>
      </c>
      <c r="F74" s="12">
        <f>0</f>
        <v>0</v>
      </c>
      <c r="G74" s="12">
        <f>0</f>
        <v>0</v>
      </c>
      <c r="H74" s="12">
        <f>0</f>
        <v>0</v>
      </c>
      <c r="I74" s="12">
        <f>0</f>
        <v>0</v>
      </c>
      <c r="J74" s="12">
        <f>0</f>
        <v>0</v>
      </c>
      <c r="K74" s="12">
        <f>0</f>
        <v>0</v>
      </c>
      <c r="L74" s="12">
        <f>0</f>
        <v>0</v>
      </c>
    </row>
    <row r="75" spans="1:12" ht="32.25" customHeight="1">
      <c r="A75" s="3">
        <v>10</v>
      </c>
      <c r="B75" s="18" t="s">
        <v>143</v>
      </c>
      <c r="C75" s="33" t="s">
        <v>47</v>
      </c>
      <c r="D75" s="28" t="s">
        <v>47</v>
      </c>
      <c r="E75" s="14" t="s">
        <v>47</v>
      </c>
      <c r="F75" s="14" t="s">
        <v>47</v>
      </c>
      <c r="G75" s="14" t="s">
        <v>47</v>
      </c>
      <c r="H75" s="14" t="s">
        <v>47</v>
      </c>
      <c r="I75" s="14" t="s">
        <v>47</v>
      </c>
      <c r="J75" s="14" t="s">
        <v>47</v>
      </c>
      <c r="K75" s="14" t="s">
        <v>47</v>
      </c>
      <c r="L75" s="14" t="s">
        <v>47</v>
      </c>
    </row>
    <row r="76" spans="1:12" ht="28.5" customHeight="1">
      <c r="A76" s="4" t="s">
        <v>58</v>
      </c>
      <c r="B76" s="24" t="s">
        <v>144</v>
      </c>
      <c r="C76" s="41">
        <f>C77+C78</f>
        <v>3909429.09</v>
      </c>
      <c r="D76" s="27">
        <f>14264727</f>
        <v>14264727</v>
      </c>
      <c r="E76" s="12">
        <f>7542666</f>
        <v>7542666</v>
      </c>
      <c r="F76" s="12">
        <f>7225400</f>
        <v>7225400</v>
      </c>
      <c r="G76" s="12">
        <f>5623153</f>
        <v>5623153</v>
      </c>
      <c r="H76" s="12">
        <f>6020658</f>
        <v>6020658</v>
      </c>
      <c r="I76" s="12">
        <f>0</f>
        <v>0</v>
      </c>
      <c r="J76" s="12">
        <f>0</f>
        <v>0</v>
      </c>
      <c r="K76" s="12">
        <f>0</f>
        <v>0</v>
      </c>
      <c r="L76" s="12">
        <f>0</f>
        <v>0</v>
      </c>
    </row>
    <row r="77" spans="1:12" ht="22.5" customHeight="1">
      <c r="A77" s="4" t="s">
        <v>145</v>
      </c>
      <c r="B77" s="20" t="s">
        <v>61</v>
      </c>
      <c r="C77" s="34">
        <v>414220.4</v>
      </c>
      <c r="D77" s="27">
        <f>1891027</f>
        <v>1891027</v>
      </c>
      <c r="E77" s="12">
        <f>2454345</f>
        <v>2454345</v>
      </c>
      <c r="F77" s="12">
        <f>1353822</f>
        <v>1353822</v>
      </c>
      <c r="G77" s="12">
        <f>0</f>
        <v>0</v>
      </c>
      <c r="H77" s="12">
        <f>0</f>
        <v>0</v>
      </c>
      <c r="I77" s="12">
        <f>0</f>
        <v>0</v>
      </c>
      <c r="J77" s="12">
        <f>0</f>
        <v>0</v>
      </c>
      <c r="K77" s="12">
        <f>0</f>
        <v>0</v>
      </c>
      <c r="L77" s="12">
        <f>0</f>
        <v>0</v>
      </c>
    </row>
    <row r="78" spans="1:12" ht="26.25" customHeight="1">
      <c r="A78" s="4" t="s">
        <v>146</v>
      </c>
      <c r="B78" s="20" t="s">
        <v>62</v>
      </c>
      <c r="C78" s="34">
        <v>3495208.69</v>
      </c>
      <c r="D78" s="27">
        <f>12373700</f>
        <v>12373700</v>
      </c>
      <c r="E78" s="12">
        <f>5088321</f>
        <v>5088321</v>
      </c>
      <c r="F78" s="12">
        <f>5871578</f>
        <v>5871578</v>
      </c>
      <c r="G78" s="12">
        <f>5623153</f>
        <v>5623153</v>
      </c>
      <c r="H78" s="12">
        <f>6020658</f>
        <v>6020658</v>
      </c>
      <c r="I78" s="12">
        <f>0</f>
        <v>0</v>
      </c>
      <c r="J78" s="12">
        <f>0</f>
        <v>0</v>
      </c>
      <c r="K78" s="12">
        <f>0</f>
        <v>0</v>
      </c>
      <c r="L78" s="12">
        <f>0</f>
        <v>0</v>
      </c>
    </row>
    <row r="79" spans="1:12" ht="36">
      <c r="A79" s="4" t="s">
        <v>147</v>
      </c>
      <c r="B79" s="19" t="s">
        <v>69</v>
      </c>
      <c r="C79" s="34">
        <v>0</v>
      </c>
      <c r="D79" s="27">
        <f>0</f>
        <v>0</v>
      </c>
      <c r="E79" s="12">
        <f>0</f>
        <v>0</v>
      </c>
      <c r="F79" s="12">
        <f>0</f>
        <v>0</v>
      </c>
      <c r="G79" s="12">
        <f>0</f>
        <v>0</v>
      </c>
      <c r="H79" s="12">
        <f>0</f>
        <v>0</v>
      </c>
      <c r="I79" s="12">
        <f>0</f>
        <v>0</v>
      </c>
      <c r="J79" s="12">
        <f>0</f>
        <v>0</v>
      </c>
      <c r="K79" s="12">
        <f>0</f>
        <v>0</v>
      </c>
      <c r="L79" s="12">
        <f>0</f>
        <v>0</v>
      </c>
    </row>
    <row r="80" spans="1:12" ht="43.5" customHeight="1">
      <c r="A80" s="4" t="s">
        <v>148</v>
      </c>
      <c r="B80" s="19" t="s">
        <v>149</v>
      </c>
      <c r="C80" s="34">
        <v>0</v>
      </c>
      <c r="D80" s="27">
        <f>0</f>
        <v>0</v>
      </c>
      <c r="E80" s="12">
        <f>0</f>
        <v>0</v>
      </c>
      <c r="F80" s="12">
        <f>0</f>
        <v>0</v>
      </c>
      <c r="G80" s="12">
        <f>0</f>
        <v>0</v>
      </c>
      <c r="H80" s="12">
        <f>0</f>
        <v>0</v>
      </c>
      <c r="I80" s="12">
        <f>0</f>
        <v>0</v>
      </c>
      <c r="J80" s="12">
        <f>0</f>
        <v>0</v>
      </c>
      <c r="K80" s="12">
        <f>0</f>
        <v>0</v>
      </c>
      <c r="L80" s="12">
        <f>0</f>
        <v>0</v>
      </c>
    </row>
    <row r="81" spans="1:12" ht="60">
      <c r="A81" s="4" t="s">
        <v>150</v>
      </c>
      <c r="B81" s="19" t="s">
        <v>54</v>
      </c>
      <c r="C81" s="34">
        <v>0</v>
      </c>
      <c r="D81" s="27">
        <f>0</f>
        <v>0</v>
      </c>
      <c r="E81" s="12">
        <f>0</f>
        <v>0</v>
      </c>
      <c r="F81" s="12">
        <f>0</f>
        <v>0</v>
      </c>
      <c r="G81" s="12">
        <f>0</f>
        <v>0</v>
      </c>
      <c r="H81" s="12">
        <f>0</f>
        <v>0</v>
      </c>
      <c r="I81" s="12">
        <f>0</f>
        <v>0</v>
      </c>
      <c r="J81" s="12">
        <f>0</f>
        <v>0</v>
      </c>
      <c r="K81" s="12">
        <f>0</f>
        <v>0</v>
      </c>
      <c r="L81" s="12">
        <f>0</f>
        <v>0</v>
      </c>
    </row>
    <row r="82" spans="1:12" ht="59.25" customHeight="1">
      <c r="A82" s="4" t="s">
        <v>151</v>
      </c>
      <c r="B82" s="19" t="s">
        <v>152</v>
      </c>
      <c r="C82" s="34">
        <v>0</v>
      </c>
      <c r="D82" s="27">
        <f>0</f>
        <v>0</v>
      </c>
      <c r="E82" s="12">
        <f>0</f>
        <v>0</v>
      </c>
      <c r="F82" s="12">
        <f>0</f>
        <v>0</v>
      </c>
      <c r="G82" s="12">
        <f>0</f>
        <v>0</v>
      </c>
      <c r="H82" s="12">
        <f>0</f>
        <v>0</v>
      </c>
      <c r="I82" s="12">
        <f>0</f>
        <v>0</v>
      </c>
      <c r="J82" s="12">
        <f>0</f>
        <v>0</v>
      </c>
      <c r="K82" s="12">
        <f>0</f>
        <v>0</v>
      </c>
      <c r="L82" s="12">
        <f>0</f>
        <v>0</v>
      </c>
    </row>
    <row r="83" spans="1:12" ht="25.5" customHeight="1">
      <c r="A83" s="4" t="s">
        <v>153</v>
      </c>
      <c r="B83" s="19" t="s">
        <v>154</v>
      </c>
      <c r="C83" s="34">
        <v>1256250</v>
      </c>
      <c r="D83" s="27">
        <f>2320000</f>
        <v>2320000</v>
      </c>
      <c r="E83" s="12">
        <f>1222500</f>
        <v>1222500</v>
      </c>
      <c r="F83" s="12">
        <f>1222500</f>
        <v>1222500</v>
      </c>
      <c r="G83" s="12">
        <f>1222500</f>
        <v>1222500</v>
      </c>
      <c r="H83" s="12">
        <f>1222500</f>
        <v>1222500</v>
      </c>
      <c r="I83" s="12">
        <f>710000</f>
        <v>710000</v>
      </c>
      <c r="J83" s="12">
        <f>710000</f>
        <v>710000</v>
      </c>
      <c r="K83" s="12">
        <f>210000</f>
        <v>210000</v>
      </c>
      <c r="L83" s="12">
        <f>710000</f>
        <v>710000</v>
      </c>
    </row>
    <row r="84" spans="1:12" ht="30" customHeight="1">
      <c r="A84" s="4" t="s">
        <v>155</v>
      </c>
      <c r="B84" s="19" t="s">
        <v>156</v>
      </c>
      <c r="C84" s="34">
        <v>0</v>
      </c>
      <c r="D84" s="27">
        <f>0</f>
        <v>0</v>
      </c>
      <c r="E84" s="12">
        <f>0</f>
        <v>0</v>
      </c>
      <c r="F84" s="12">
        <f>0</f>
        <v>0</v>
      </c>
      <c r="G84" s="12">
        <f>0</f>
        <v>0</v>
      </c>
      <c r="H84" s="12">
        <f>0</f>
        <v>0</v>
      </c>
      <c r="I84" s="12">
        <f>0</f>
        <v>0</v>
      </c>
      <c r="J84" s="12">
        <f>0</f>
        <v>0</v>
      </c>
      <c r="K84" s="12">
        <f>0</f>
        <v>0</v>
      </c>
      <c r="L84" s="12">
        <f>0</f>
        <v>0</v>
      </c>
    </row>
    <row r="85" spans="1:12" ht="28.5" customHeight="1">
      <c r="A85" s="4" t="s">
        <v>157</v>
      </c>
      <c r="B85" s="20" t="s">
        <v>158</v>
      </c>
      <c r="C85" s="34">
        <v>0</v>
      </c>
      <c r="D85" s="27">
        <f>0</f>
        <v>0</v>
      </c>
      <c r="E85" s="12">
        <f>0</f>
        <v>0</v>
      </c>
      <c r="F85" s="12">
        <f>0</f>
        <v>0</v>
      </c>
      <c r="G85" s="12">
        <f>0</f>
        <v>0</v>
      </c>
      <c r="H85" s="12">
        <f>0</f>
        <v>0</v>
      </c>
      <c r="I85" s="12">
        <f>0</f>
        <v>0</v>
      </c>
      <c r="J85" s="12">
        <f>0</f>
        <v>0</v>
      </c>
      <c r="K85" s="12">
        <f>0</f>
        <v>0</v>
      </c>
      <c r="L85" s="12">
        <f>0</f>
        <v>0</v>
      </c>
    </row>
    <row r="86" spans="1:12" ht="24">
      <c r="A86" s="4" t="s">
        <v>159</v>
      </c>
      <c r="B86" s="20" t="s">
        <v>160</v>
      </c>
      <c r="C86" s="34">
        <v>0</v>
      </c>
      <c r="D86" s="27">
        <f>0</f>
        <v>0</v>
      </c>
      <c r="E86" s="12">
        <f>0</f>
        <v>0</v>
      </c>
      <c r="F86" s="12">
        <f>0</f>
        <v>0</v>
      </c>
      <c r="G86" s="12">
        <f>0</f>
        <v>0</v>
      </c>
      <c r="H86" s="12">
        <f>0</f>
        <v>0</v>
      </c>
      <c r="I86" s="12">
        <f>0</f>
        <v>0</v>
      </c>
      <c r="J86" s="12">
        <f>0</f>
        <v>0</v>
      </c>
      <c r="K86" s="12">
        <f>0</f>
        <v>0</v>
      </c>
      <c r="L86" s="12">
        <f>0</f>
        <v>0</v>
      </c>
    </row>
    <row r="87" spans="1:12" ht="44.25" customHeight="1">
      <c r="A87" s="4" t="s">
        <v>161</v>
      </c>
      <c r="B87" s="21" t="s">
        <v>162</v>
      </c>
      <c r="C87" s="34">
        <v>0</v>
      </c>
      <c r="D87" s="27">
        <f>0</f>
        <v>0</v>
      </c>
      <c r="E87" s="12">
        <f>0</f>
        <v>0</v>
      </c>
      <c r="F87" s="12">
        <f>0</f>
        <v>0</v>
      </c>
      <c r="G87" s="12">
        <f>0</f>
        <v>0</v>
      </c>
      <c r="H87" s="12">
        <f>0</f>
        <v>0</v>
      </c>
      <c r="I87" s="12">
        <f>0</f>
        <v>0</v>
      </c>
      <c r="J87" s="12">
        <f>0</f>
        <v>0</v>
      </c>
      <c r="K87" s="12">
        <f>0</f>
        <v>0</v>
      </c>
      <c r="L87" s="12">
        <f>0</f>
        <v>0</v>
      </c>
    </row>
    <row r="88" spans="1:12">
      <c r="A88" s="4" t="s">
        <v>163</v>
      </c>
      <c r="B88" s="22" t="s">
        <v>164</v>
      </c>
      <c r="C88" s="34">
        <v>0</v>
      </c>
      <c r="D88" s="27">
        <f>0</f>
        <v>0</v>
      </c>
      <c r="E88" s="12">
        <f>0</f>
        <v>0</v>
      </c>
      <c r="F88" s="12">
        <f>0</f>
        <v>0</v>
      </c>
      <c r="G88" s="12">
        <f>0</f>
        <v>0</v>
      </c>
      <c r="H88" s="12">
        <f>0</f>
        <v>0</v>
      </c>
      <c r="I88" s="12">
        <f>0</f>
        <v>0</v>
      </c>
      <c r="J88" s="12">
        <f>0</f>
        <v>0</v>
      </c>
      <c r="K88" s="12">
        <f>0</f>
        <v>0</v>
      </c>
      <c r="L88" s="12">
        <f>0</f>
        <v>0</v>
      </c>
    </row>
    <row r="89" spans="1:12" ht="28.5" customHeight="1">
      <c r="A89" s="4" t="s">
        <v>165</v>
      </c>
      <c r="B89" s="20" t="s">
        <v>70</v>
      </c>
      <c r="C89" s="34">
        <v>0</v>
      </c>
      <c r="D89" s="27">
        <f>0</f>
        <v>0</v>
      </c>
      <c r="E89" s="12">
        <f>0</f>
        <v>0</v>
      </c>
      <c r="F89" s="12">
        <f>0</f>
        <v>0</v>
      </c>
      <c r="G89" s="12">
        <f>0</f>
        <v>0</v>
      </c>
      <c r="H89" s="12">
        <f>0</f>
        <v>0</v>
      </c>
      <c r="I89" s="12">
        <f>0</f>
        <v>0</v>
      </c>
      <c r="J89" s="12">
        <f>0</f>
        <v>0</v>
      </c>
      <c r="K89" s="12">
        <f>0</f>
        <v>0</v>
      </c>
      <c r="L89" s="12">
        <f>0</f>
        <v>0</v>
      </c>
    </row>
    <row r="90" spans="1:12" ht="39.75" customHeight="1">
      <c r="A90" s="4" t="s">
        <v>166</v>
      </c>
      <c r="B90" s="19" t="s">
        <v>167</v>
      </c>
      <c r="C90" s="34">
        <v>0</v>
      </c>
      <c r="D90" s="27">
        <f>0</f>
        <v>0</v>
      </c>
      <c r="E90" s="12">
        <f>0</f>
        <v>0</v>
      </c>
      <c r="F90" s="12">
        <f>0</f>
        <v>0</v>
      </c>
      <c r="G90" s="12">
        <f>0</f>
        <v>0</v>
      </c>
      <c r="H90" s="12">
        <f>0</f>
        <v>0</v>
      </c>
      <c r="I90" s="12">
        <f>0</f>
        <v>0</v>
      </c>
      <c r="J90" s="12">
        <f>0</f>
        <v>0</v>
      </c>
      <c r="K90" s="12">
        <f>0</f>
        <v>0</v>
      </c>
      <c r="L90" s="12">
        <f>0</f>
        <v>0</v>
      </c>
    </row>
    <row r="91" spans="1:12" ht="36">
      <c r="A91" s="4" t="s">
        <v>168</v>
      </c>
      <c r="B91" s="19" t="s">
        <v>169</v>
      </c>
      <c r="C91" s="34">
        <v>0</v>
      </c>
      <c r="D91" s="27">
        <f>0</f>
        <v>0</v>
      </c>
      <c r="E91" s="12">
        <f>0</f>
        <v>0</v>
      </c>
      <c r="F91" s="12">
        <f>0</f>
        <v>0</v>
      </c>
      <c r="G91" s="12">
        <f>0</f>
        <v>0</v>
      </c>
      <c r="H91" s="12">
        <f>0</f>
        <v>0</v>
      </c>
      <c r="I91" s="12">
        <f>0</f>
        <v>0</v>
      </c>
      <c r="J91" s="12">
        <f>0</f>
        <v>0</v>
      </c>
      <c r="K91" s="12">
        <f>0</f>
        <v>0</v>
      </c>
      <c r="L91" s="12">
        <f>0</f>
        <v>0</v>
      </c>
    </row>
    <row r="92" spans="1:12" ht="30" customHeight="1">
      <c r="A92" s="3">
        <v>11</v>
      </c>
      <c r="B92" s="18" t="s">
        <v>71</v>
      </c>
      <c r="C92" s="35" t="s">
        <v>47</v>
      </c>
      <c r="D92" s="28" t="s">
        <v>47</v>
      </c>
      <c r="E92" s="14" t="s">
        <v>47</v>
      </c>
      <c r="F92" s="14" t="s">
        <v>47</v>
      </c>
      <c r="G92" s="14" t="s">
        <v>47</v>
      </c>
      <c r="H92" s="14" t="s">
        <v>47</v>
      </c>
      <c r="I92" s="14" t="s">
        <v>47</v>
      </c>
      <c r="J92" s="14" t="s">
        <v>47</v>
      </c>
      <c r="K92" s="14" t="s">
        <v>47</v>
      </c>
      <c r="L92" s="14" t="s">
        <v>47</v>
      </c>
    </row>
    <row r="93" spans="1:12" ht="27.75" customHeight="1">
      <c r="A93" s="4" t="s">
        <v>59</v>
      </c>
      <c r="B93" s="19" t="s">
        <v>170</v>
      </c>
      <c r="C93" s="34">
        <v>0</v>
      </c>
      <c r="D93" s="27">
        <f>0</f>
        <v>0</v>
      </c>
      <c r="E93" s="12">
        <f>0</f>
        <v>0</v>
      </c>
      <c r="F93" s="12">
        <f>0</f>
        <v>0</v>
      </c>
      <c r="G93" s="12">
        <f>0</f>
        <v>0</v>
      </c>
      <c r="H93" s="12">
        <f>0</f>
        <v>0</v>
      </c>
      <c r="I93" s="12">
        <f>0</f>
        <v>0</v>
      </c>
      <c r="J93" s="12">
        <f>0</f>
        <v>0</v>
      </c>
      <c r="K93" s="12">
        <f>0</f>
        <v>0</v>
      </c>
      <c r="L93" s="12">
        <f>0</f>
        <v>0</v>
      </c>
    </row>
    <row r="94" spans="1:12" ht="19.5" customHeight="1">
      <c r="A94" s="4" t="s">
        <v>171</v>
      </c>
      <c r="B94" s="20" t="s">
        <v>172</v>
      </c>
      <c r="C94" s="34">
        <v>0</v>
      </c>
      <c r="D94" s="27">
        <f>0</f>
        <v>0</v>
      </c>
      <c r="E94" s="12">
        <f>0</f>
        <v>0</v>
      </c>
      <c r="F94" s="12">
        <f>0</f>
        <v>0</v>
      </c>
      <c r="G94" s="12">
        <f>0</f>
        <v>0</v>
      </c>
      <c r="H94" s="12">
        <f>0</f>
        <v>0</v>
      </c>
      <c r="I94" s="12">
        <f>0</f>
        <v>0</v>
      </c>
      <c r="J94" s="12">
        <f>0</f>
        <v>0</v>
      </c>
      <c r="K94" s="12">
        <f>0</f>
        <v>0</v>
      </c>
      <c r="L94" s="12">
        <f>0</f>
        <v>0</v>
      </c>
    </row>
    <row r="95" spans="1:12" ht="42" customHeight="1">
      <c r="A95" s="4" t="s">
        <v>60</v>
      </c>
      <c r="B95" s="19" t="s">
        <v>173</v>
      </c>
      <c r="C95" s="34">
        <v>0</v>
      </c>
      <c r="D95" s="27">
        <f>0</f>
        <v>0</v>
      </c>
      <c r="E95" s="12">
        <f>0</f>
        <v>0</v>
      </c>
      <c r="F95" s="12">
        <f>0</f>
        <v>0</v>
      </c>
      <c r="G95" s="12">
        <f>0</f>
        <v>0</v>
      </c>
      <c r="H95" s="12">
        <f>0</f>
        <v>0</v>
      </c>
      <c r="I95" s="12">
        <f>0</f>
        <v>0</v>
      </c>
      <c r="J95" s="12">
        <f>0</f>
        <v>0</v>
      </c>
      <c r="K95" s="12">
        <f>0</f>
        <v>0</v>
      </c>
      <c r="L95" s="12">
        <f>0</f>
        <v>0</v>
      </c>
    </row>
    <row r="96" spans="1:12" ht="24">
      <c r="A96" s="3">
        <v>12</v>
      </c>
      <c r="B96" s="18" t="s">
        <v>174</v>
      </c>
      <c r="C96" s="35" t="s">
        <v>47</v>
      </c>
      <c r="D96" s="28" t="s">
        <v>47</v>
      </c>
      <c r="E96" s="14" t="s">
        <v>47</v>
      </c>
      <c r="F96" s="14" t="s">
        <v>47</v>
      </c>
      <c r="G96" s="14" t="s">
        <v>47</v>
      </c>
      <c r="H96" s="14" t="s">
        <v>47</v>
      </c>
      <c r="I96" s="14" t="s">
        <v>47</v>
      </c>
      <c r="J96" s="14" t="s">
        <v>47</v>
      </c>
      <c r="K96" s="14" t="s">
        <v>47</v>
      </c>
      <c r="L96" s="14" t="s">
        <v>47</v>
      </c>
    </row>
    <row r="97" spans="1:12" ht="24">
      <c r="A97" s="4" t="s">
        <v>64</v>
      </c>
      <c r="B97" s="19" t="s">
        <v>175</v>
      </c>
      <c r="C97" s="34">
        <v>0</v>
      </c>
      <c r="D97" s="27">
        <f>0</f>
        <v>0</v>
      </c>
      <c r="E97" s="12">
        <f>0</f>
        <v>0</v>
      </c>
      <c r="F97" s="12">
        <f>0</f>
        <v>0</v>
      </c>
      <c r="G97" s="12">
        <f>0</f>
        <v>0</v>
      </c>
      <c r="H97" s="12">
        <f>0</f>
        <v>0</v>
      </c>
      <c r="I97" s="12">
        <f>0</f>
        <v>0</v>
      </c>
      <c r="J97" s="12">
        <f>0</f>
        <v>0</v>
      </c>
      <c r="K97" s="12">
        <f>0</f>
        <v>0</v>
      </c>
      <c r="L97" s="12">
        <f>0</f>
        <v>0</v>
      </c>
    </row>
    <row r="98" spans="1:12" ht="24">
      <c r="A98" s="4" t="s">
        <v>65</v>
      </c>
      <c r="B98" s="19" t="s">
        <v>176</v>
      </c>
      <c r="C98" s="36">
        <v>0</v>
      </c>
      <c r="D98" s="31">
        <f>0</f>
        <v>0</v>
      </c>
      <c r="E98" s="17">
        <f>0</f>
        <v>0</v>
      </c>
      <c r="F98" s="17">
        <f>0</f>
        <v>0</v>
      </c>
      <c r="G98" s="17">
        <f>0</f>
        <v>0</v>
      </c>
      <c r="H98" s="17">
        <f>0</f>
        <v>0</v>
      </c>
      <c r="I98" s="17">
        <f>0</f>
        <v>0</v>
      </c>
      <c r="J98" s="17">
        <f>0</f>
        <v>0</v>
      </c>
      <c r="K98" s="17">
        <f>0</f>
        <v>0</v>
      </c>
      <c r="L98" s="17">
        <f>0</f>
        <v>0</v>
      </c>
    </row>
    <row r="99" spans="1:12" ht="24.75" thickBot="1">
      <c r="A99" s="4" t="s">
        <v>66</v>
      </c>
      <c r="B99" s="19" t="s">
        <v>177</v>
      </c>
      <c r="C99" s="37">
        <v>0</v>
      </c>
      <c r="D99" s="31">
        <f>0</f>
        <v>0</v>
      </c>
      <c r="E99" s="17">
        <f>0</f>
        <v>0</v>
      </c>
      <c r="F99" s="17">
        <f>0</f>
        <v>0</v>
      </c>
      <c r="G99" s="17">
        <f>0</f>
        <v>0</v>
      </c>
      <c r="H99" s="17">
        <f>0</f>
        <v>0</v>
      </c>
      <c r="I99" s="17">
        <f>0</f>
        <v>0</v>
      </c>
      <c r="J99" s="17">
        <f>0</f>
        <v>0</v>
      </c>
      <c r="K99" s="17">
        <f>0</f>
        <v>0</v>
      </c>
      <c r="L99" s="17">
        <f>0</f>
        <v>0</v>
      </c>
    </row>
    <row r="100" spans="1:12">
      <c r="E100" s="9" t="s">
        <v>73</v>
      </c>
      <c r="F100" s="9" t="s">
        <v>73</v>
      </c>
      <c r="G100" s="9" t="s">
        <v>73</v>
      </c>
      <c r="H100" s="9" t="s">
        <v>73</v>
      </c>
      <c r="I100" s="9" t="s">
        <v>73</v>
      </c>
      <c r="J100" s="9" t="s">
        <v>73</v>
      </c>
      <c r="K100" s="9" t="s">
        <v>73</v>
      </c>
    </row>
    <row r="101" spans="1:12">
      <c r="E101" s="9" t="s">
        <v>73</v>
      </c>
      <c r="F101" s="9" t="s">
        <v>73</v>
      </c>
      <c r="G101" s="9" t="s">
        <v>73</v>
      </c>
      <c r="H101" s="9" t="s">
        <v>73</v>
      </c>
      <c r="I101" s="9" t="s">
        <v>73</v>
      </c>
      <c r="J101" s="9" t="s">
        <v>73</v>
      </c>
      <c r="K101" s="9" t="s">
        <v>73</v>
      </c>
    </row>
  </sheetData>
  <mergeCells count="6">
    <mergeCell ref="A3:A4"/>
    <mergeCell ref="B1:L1"/>
    <mergeCell ref="D3:L3"/>
    <mergeCell ref="B3:B4"/>
    <mergeCell ref="I2:K2"/>
    <mergeCell ref="C3:C4"/>
  </mergeCells>
  <conditionalFormatting sqref="L56">
    <cfRule type="expression" dxfId="3" priority="4" stopIfTrue="1">
      <formula>LEFT(L56,3)="Nie"</formula>
    </cfRule>
  </conditionalFormatting>
  <conditionalFormatting sqref="L60:L61">
    <cfRule type="cellIs" dxfId="2" priority="3" stopIfTrue="1" operator="equal">
      <formula>"Nie spełniona"</formula>
    </cfRule>
  </conditionalFormatting>
  <conditionalFormatting sqref="D56:K56">
    <cfRule type="expression" dxfId="1" priority="2" stopIfTrue="1">
      <formula>LEFT(D56,3)="Nie"</formula>
    </cfRule>
  </conditionalFormatting>
  <conditionalFormatting sqref="D60:K61">
    <cfRule type="cellIs" dxfId="0" priority="1" stopIfTrue="1" operator="equal">
      <formula>"Nie spełniona"</formula>
    </cfRule>
  </conditionalFormatting>
  <pageMargins left="0.23622047244094491" right="0.23622047244094491" top="0.74803149606299213" bottom="0.55118110236220474" header="0.31496062992125984" footer="0.31496062992125984"/>
  <pageSetup paperSize="9" scale="80" orientation="landscape" horizontalDpi="1200" verticalDpi="1200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Anna Buniak</cp:lastModifiedBy>
  <cp:lastPrinted>2020-07-06T07:07:27Z</cp:lastPrinted>
  <dcterms:created xsi:type="dcterms:W3CDTF">2017-07-12T09:44:21Z</dcterms:created>
  <dcterms:modified xsi:type="dcterms:W3CDTF">2020-07-16T05:33:53Z</dcterms:modified>
</cp:coreProperties>
</file>